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bookViews>
    <workbookView xWindow="0" yWindow="0" windowWidth="28720" windowHeight="17560" tabRatio="500"/>
  </bookViews>
  <sheets>
    <sheet name="h2o calculator" sheetId="1" r:id="rId1"/>
    <sheet name="Before-After-CHART" sheetId="20" r:id="rId2"/>
    <sheet name="Budget-CHART" sheetId="12" r:id="rId3"/>
    <sheet name="Deep green comp-CHART" sheetId="15" r:id="rId4"/>
    <sheet name="h2o bill-SAMPLE" sheetId="2" r:id="rId5"/>
    <sheet name="h2o bill-YOURS" sheetId="23" r:id="rId6"/>
    <sheet name="Greywater" sheetId="14" r:id="rId7"/>
    <sheet name="RainRunoff" sheetId="4" r:id="rId8"/>
    <sheet name="h2oElements" sheetId="3" r:id="rId9"/>
    <sheet name="Chart-Elevations" sheetId="7" r:id="rId10"/>
    <sheet name="Misc" sheetId="21" r:id="rId11"/>
    <sheet name="ChartSRC" sheetId="6" r:id="rId12"/>
  </sheets>
  <definedNames>
    <definedName name="_xlnm.Print_Area" localSheetId="2">'Budget-CHART'!$A$1:$H$73</definedName>
    <definedName name="_xlnm.Print_Area" localSheetId="0">'h2o calculator'!$A$2:$F$381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4" i="1" l="1"/>
  <c r="A227" i="1"/>
  <c r="A228" i="1"/>
  <c r="F228" i="1"/>
  <c r="E228" i="1"/>
  <c r="F227" i="1"/>
  <c r="E227" i="1"/>
  <c r="F226" i="1"/>
  <c r="E226" i="1"/>
  <c r="A115" i="1"/>
  <c r="A117" i="1"/>
  <c r="A114" i="1"/>
  <c r="A119" i="1"/>
  <c r="A174" i="1"/>
  <c r="A175" i="1"/>
  <c r="A184" i="1"/>
  <c r="A225" i="1"/>
  <c r="F225" i="1"/>
  <c r="E225" i="1"/>
  <c r="F224" i="1"/>
  <c r="E224" i="1"/>
  <c r="F223" i="1"/>
  <c r="E223" i="1"/>
  <c r="F222" i="1"/>
  <c r="E222" i="1"/>
  <c r="B115" i="1"/>
  <c r="B117" i="1"/>
  <c r="B114" i="1"/>
  <c r="B119" i="1"/>
  <c r="B174" i="1"/>
  <c r="B175" i="1"/>
  <c r="B182" i="1"/>
  <c r="B187" i="1"/>
  <c r="B118" i="1"/>
  <c r="B160" i="1"/>
  <c r="B162" i="1"/>
  <c r="B168" i="1"/>
  <c r="B170" i="1"/>
  <c r="B214" i="1"/>
  <c r="B205" i="1"/>
  <c r="B206" i="1"/>
  <c r="B208" i="1"/>
  <c r="B209" i="1"/>
  <c r="B211" i="1"/>
  <c r="B216" i="1"/>
  <c r="B218" i="1"/>
  <c r="B219" i="1"/>
  <c r="B154" i="1"/>
  <c r="B146" i="1"/>
  <c r="B148" i="1"/>
  <c r="B156" i="1"/>
  <c r="B231" i="1"/>
  <c r="A105" i="1"/>
  <c r="A106" i="1"/>
  <c r="A110" i="1"/>
  <c r="A79" i="1"/>
  <c r="A272" i="1"/>
  <c r="A273" i="1"/>
  <c r="A274" i="1"/>
  <c r="A275" i="1"/>
  <c r="A276" i="1"/>
  <c r="A277" i="1"/>
  <c r="A279" i="1"/>
  <c r="B274" i="1"/>
  <c r="B275" i="1"/>
  <c r="B276" i="1"/>
  <c r="B277" i="1"/>
  <c r="B279" i="1"/>
  <c r="A285" i="1"/>
  <c r="B79" i="1"/>
  <c r="A101" i="1"/>
  <c r="A102" i="1"/>
  <c r="A103" i="1"/>
  <c r="A108" i="1"/>
  <c r="A109" i="1"/>
  <c r="A80" i="1"/>
  <c r="A356" i="1"/>
  <c r="A357" i="1"/>
  <c r="A358" i="1"/>
  <c r="A359" i="1"/>
  <c r="A360" i="1"/>
  <c r="A365" i="1"/>
  <c r="A366" i="1"/>
  <c r="A368" i="1"/>
  <c r="A369" i="1"/>
  <c r="A370" i="1"/>
  <c r="B83" i="1"/>
  <c r="A83" i="1"/>
  <c r="E83" i="1"/>
  <c r="B80" i="1"/>
  <c r="B52" i="1"/>
  <c r="B233" i="1"/>
  <c r="A182" i="1"/>
  <c r="A187" i="1"/>
  <c r="A118" i="1"/>
  <c r="A160" i="1"/>
  <c r="A162" i="1"/>
  <c r="A168" i="1"/>
  <c r="A170" i="1"/>
  <c r="A214" i="1"/>
  <c r="A205" i="1"/>
  <c r="A206" i="1"/>
  <c r="A208" i="1"/>
  <c r="A209" i="1"/>
  <c r="A211" i="1"/>
  <c r="A216" i="1"/>
  <c r="A218" i="1"/>
  <c r="A219" i="1"/>
  <c r="A154" i="1"/>
  <c r="A146" i="1"/>
  <c r="A148" i="1"/>
  <c r="A156" i="1"/>
  <c r="A231" i="1"/>
  <c r="A52" i="1"/>
  <c r="A233" i="1"/>
  <c r="F233" i="1"/>
  <c r="E233" i="1"/>
  <c r="B232" i="1"/>
  <c r="A232" i="1"/>
  <c r="F232" i="1"/>
  <c r="E232" i="1"/>
  <c r="F231" i="1"/>
  <c r="E231" i="1"/>
  <c r="F219" i="1"/>
  <c r="E219" i="1"/>
  <c r="F218" i="1"/>
  <c r="E218" i="1"/>
  <c r="F217" i="1"/>
  <c r="E217" i="1"/>
  <c r="F216" i="1"/>
  <c r="E216" i="1"/>
  <c r="B215" i="1"/>
  <c r="A215" i="1"/>
  <c r="F215" i="1"/>
  <c r="E215" i="1"/>
  <c r="F214" i="1"/>
  <c r="E214" i="1"/>
  <c r="F213" i="1"/>
  <c r="E213" i="1"/>
  <c r="B190" i="1"/>
  <c r="B195" i="1"/>
  <c r="B196" i="1"/>
  <c r="B212" i="1"/>
  <c r="F212" i="1"/>
  <c r="E212" i="1"/>
  <c r="F211" i="1"/>
  <c r="E211" i="1"/>
  <c r="B210" i="1"/>
  <c r="A210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B202" i="1"/>
  <c r="B203" i="1"/>
  <c r="B204" i="1"/>
  <c r="A202" i="1"/>
  <c r="A203" i="1"/>
  <c r="A190" i="1"/>
  <c r="A195" i="1"/>
  <c r="A196" i="1"/>
  <c r="A204" i="1"/>
  <c r="F204" i="1"/>
  <c r="E204" i="1"/>
  <c r="F203" i="1"/>
  <c r="E203" i="1"/>
  <c r="F202" i="1"/>
  <c r="E202" i="1"/>
  <c r="F201" i="1"/>
  <c r="E201" i="1"/>
  <c r="F200" i="1"/>
  <c r="E200" i="1"/>
  <c r="B199" i="1"/>
  <c r="A199" i="1"/>
  <c r="F199" i="1"/>
  <c r="E199" i="1"/>
  <c r="F196" i="1"/>
  <c r="E196" i="1"/>
  <c r="F195" i="1"/>
  <c r="E195" i="1"/>
  <c r="F194" i="1"/>
  <c r="E194" i="1"/>
  <c r="B193" i="1"/>
  <c r="A193" i="1"/>
  <c r="F193" i="1"/>
  <c r="E193" i="1"/>
  <c r="B192" i="1"/>
  <c r="A192" i="1"/>
  <c r="F192" i="1"/>
  <c r="E192" i="1"/>
  <c r="F191" i="1"/>
  <c r="E191" i="1"/>
  <c r="F190" i="1"/>
  <c r="E190" i="1"/>
  <c r="F187" i="1"/>
  <c r="E187" i="1"/>
  <c r="B186" i="1"/>
  <c r="A186" i="1"/>
  <c r="F186" i="1"/>
  <c r="E186" i="1"/>
  <c r="B185" i="1"/>
  <c r="A185" i="1"/>
  <c r="F185" i="1"/>
  <c r="E185" i="1"/>
  <c r="B184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B177" i="1"/>
  <c r="B178" i="1"/>
  <c r="A177" i="1"/>
  <c r="A178" i="1"/>
  <c r="F178" i="1"/>
  <c r="E178" i="1"/>
  <c r="F177" i="1"/>
  <c r="E177" i="1"/>
  <c r="B176" i="1"/>
  <c r="A176" i="1"/>
  <c r="F176" i="1"/>
  <c r="E176" i="1"/>
  <c r="F175" i="1"/>
  <c r="E175" i="1"/>
  <c r="F174" i="1"/>
  <c r="E174" i="1"/>
  <c r="F170" i="1"/>
  <c r="E170" i="1"/>
  <c r="B169" i="1"/>
  <c r="A169" i="1"/>
  <c r="F169" i="1"/>
  <c r="E169" i="1"/>
  <c r="F168" i="1"/>
  <c r="E168" i="1"/>
  <c r="F167" i="1"/>
  <c r="E167" i="1"/>
  <c r="B164" i="1"/>
  <c r="B165" i="1"/>
  <c r="A133" i="1"/>
  <c r="A135" i="1"/>
  <c r="A155" i="1"/>
  <c r="A131" i="1"/>
  <c r="A138" i="1"/>
  <c r="A140" i="1"/>
  <c r="A53" i="1"/>
  <c r="A54" i="1"/>
  <c r="A298" i="1"/>
  <c r="A299" i="1"/>
  <c r="A300" i="1"/>
  <c r="A301" i="1"/>
  <c r="A302" i="1"/>
  <c r="A304" i="1"/>
  <c r="A55" i="1"/>
  <c r="A58" i="1"/>
  <c r="A164" i="1"/>
  <c r="A165" i="1"/>
  <c r="F165" i="1"/>
  <c r="E165" i="1"/>
  <c r="F164" i="1"/>
  <c r="E164" i="1"/>
  <c r="B163" i="1"/>
  <c r="A163" i="1"/>
  <c r="F163" i="1"/>
  <c r="E163" i="1"/>
  <c r="F162" i="1"/>
  <c r="E162" i="1"/>
  <c r="F161" i="1"/>
  <c r="E161" i="1"/>
  <c r="F156" i="1"/>
  <c r="E156" i="1"/>
  <c r="B155" i="1"/>
  <c r="F155" i="1"/>
  <c r="E155" i="1"/>
  <c r="F154" i="1"/>
  <c r="E154" i="1"/>
  <c r="F153" i="1"/>
  <c r="E153" i="1"/>
  <c r="B150" i="1"/>
  <c r="B151" i="1"/>
  <c r="A150" i="1"/>
  <c r="A151" i="1"/>
  <c r="F151" i="1"/>
  <c r="E151" i="1"/>
  <c r="F150" i="1"/>
  <c r="E150" i="1"/>
  <c r="B149" i="1"/>
  <c r="A149" i="1"/>
  <c r="F149" i="1"/>
  <c r="E149" i="1"/>
  <c r="F148" i="1"/>
  <c r="E148" i="1"/>
  <c r="F147" i="1"/>
  <c r="E147" i="1"/>
  <c r="F146" i="1"/>
  <c r="E146" i="1"/>
  <c r="B134" i="1"/>
  <c r="B136" i="1"/>
  <c r="B132" i="1"/>
  <c r="B139" i="1"/>
  <c r="B141" i="1"/>
  <c r="A134" i="1"/>
  <c r="A136" i="1"/>
  <c r="A132" i="1"/>
  <c r="A139" i="1"/>
  <c r="A141" i="1"/>
  <c r="F141" i="1"/>
  <c r="E141" i="1"/>
  <c r="B133" i="1"/>
  <c r="B135" i="1"/>
  <c r="B131" i="1"/>
  <c r="B138" i="1"/>
  <c r="B140" i="1"/>
  <c r="F140" i="1"/>
  <c r="E140" i="1"/>
  <c r="F139" i="1"/>
  <c r="E139" i="1"/>
  <c r="F138" i="1"/>
  <c r="E138" i="1"/>
  <c r="B137" i="1"/>
  <c r="A137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B128" i="1"/>
  <c r="A128" i="1"/>
  <c r="F128" i="1"/>
  <c r="E128" i="1"/>
  <c r="B127" i="1"/>
  <c r="A127" i="1"/>
  <c r="F127" i="1"/>
  <c r="E127" i="1"/>
  <c r="B122" i="1"/>
  <c r="A122" i="1"/>
  <c r="F122" i="1"/>
  <c r="E122" i="1"/>
  <c r="B120" i="1"/>
  <c r="B121" i="1"/>
  <c r="A120" i="1"/>
  <c r="A121" i="1"/>
  <c r="F121" i="1"/>
  <c r="E121" i="1"/>
  <c r="F120" i="1"/>
  <c r="E120" i="1"/>
  <c r="F119" i="1"/>
  <c r="E119" i="1"/>
  <c r="F118" i="1"/>
  <c r="E118" i="1"/>
  <c r="F117" i="1"/>
  <c r="E117" i="1"/>
  <c r="B116" i="1"/>
  <c r="A116" i="1"/>
  <c r="F116" i="1"/>
  <c r="E116" i="1"/>
  <c r="F115" i="1"/>
  <c r="E115" i="1"/>
  <c r="F114" i="1"/>
  <c r="E11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B272" i="1"/>
  <c r="B81" i="1"/>
  <c r="O15" i="1"/>
  <c r="A81" i="1"/>
  <c r="N15" i="1"/>
  <c r="D81" i="1"/>
  <c r="M15" i="1"/>
  <c r="H32" i="1"/>
  <c r="M57" i="1"/>
  <c r="O57" i="1"/>
  <c r="M56" i="1"/>
  <c r="O56" i="1"/>
  <c r="D55" i="1"/>
  <c r="M55" i="1"/>
  <c r="O55" i="1"/>
  <c r="M54" i="1"/>
  <c r="O54" i="1"/>
  <c r="M53" i="1"/>
  <c r="O53" i="1"/>
  <c r="D52" i="1"/>
  <c r="M52" i="1"/>
  <c r="O52" i="1"/>
  <c r="P57" i="1"/>
  <c r="N57" i="1"/>
  <c r="A260" i="1"/>
  <c r="A253" i="1"/>
  <c r="A289" i="1"/>
  <c r="A293" i="1"/>
  <c r="B298" i="1"/>
  <c r="A252" i="1"/>
  <c r="A254" i="1"/>
  <c r="A261" i="1"/>
  <c r="B56" i="1"/>
  <c r="P56" i="1"/>
  <c r="N56" i="1"/>
  <c r="B299" i="1"/>
  <c r="B300" i="1"/>
  <c r="B301" i="1"/>
  <c r="B302" i="1"/>
  <c r="B304" i="1"/>
  <c r="B55" i="1"/>
  <c r="P55" i="1"/>
  <c r="N55" i="1"/>
  <c r="B54" i="1"/>
  <c r="P54" i="1"/>
  <c r="N54" i="1"/>
  <c r="B53" i="1"/>
  <c r="P53" i="1"/>
  <c r="N53" i="1"/>
  <c r="P52" i="1"/>
  <c r="N52" i="1"/>
  <c r="A297" i="1"/>
  <c r="A240" i="1"/>
  <c r="A241" i="1"/>
  <c r="A244" i="1"/>
  <c r="A245" i="1"/>
  <c r="A246" i="1"/>
  <c r="F92" i="1"/>
  <c r="F89" i="1"/>
  <c r="B86" i="1"/>
  <c r="E56" i="1"/>
  <c r="B87" i="1"/>
  <c r="F87" i="1"/>
  <c r="F86" i="1"/>
  <c r="F83" i="1"/>
  <c r="B82" i="1"/>
  <c r="A104" i="1"/>
  <c r="A82" i="1"/>
  <c r="F82" i="1"/>
  <c r="F81" i="1"/>
  <c r="F80" i="1"/>
  <c r="F79" i="1"/>
  <c r="B58" i="1"/>
  <c r="F58" i="1"/>
  <c r="F57" i="1"/>
  <c r="F56" i="1"/>
  <c r="F55" i="1"/>
  <c r="F54" i="1"/>
  <c r="F53" i="1"/>
  <c r="F52" i="1"/>
  <c r="C141" i="1"/>
  <c r="C140" i="1"/>
  <c r="C139" i="1"/>
  <c r="C138" i="1"/>
  <c r="C137" i="1"/>
  <c r="C136" i="1"/>
  <c r="E54" i="1"/>
  <c r="E53" i="1"/>
  <c r="C135" i="1"/>
  <c r="E52" i="1"/>
  <c r="C133" i="1"/>
  <c r="A123" i="1"/>
  <c r="B271" i="1"/>
  <c r="D199" i="1"/>
  <c r="C199" i="1"/>
  <c r="D190" i="1"/>
  <c r="C190" i="1"/>
  <c r="D118" i="1"/>
  <c r="D160" i="1"/>
  <c r="C118" i="1"/>
  <c r="C160" i="1"/>
  <c r="F160" i="1"/>
  <c r="E160" i="1"/>
  <c r="C146" i="1"/>
  <c r="D146" i="1"/>
  <c r="B123" i="1"/>
  <c r="D120" i="1"/>
  <c r="C120" i="1"/>
  <c r="D122" i="1"/>
  <c r="C122" i="1"/>
  <c r="D117" i="1"/>
  <c r="C117" i="1"/>
  <c r="D116" i="1"/>
  <c r="C116" i="1"/>
  <c r="D115" i="1"/>
  <c r="C115" i="1"/>
  <c r="D114" i="1"/>
  <c r="C114" i="1"/>
  <c r="A100" i="1"/>
  <c r="E92" i="1"/>
  <c r="E89" i="1"/>
  <c r="E87" i="1"/>
  <c r="E86" i="1"/>
  <c r="E82" i="1"/>
  <c r="E81" i="1"/>
  <c r="E80" i="1"/>
  <c r="E79" i="1"/>
  <c r="E58" i="1"/>
  <c r="E57" i="1"/>
  <c r="E55" i="1"/>
  <c r="O9" i="1"/>
  <c r="N9" i="1"/>
  <c r="M9" i="1"/>
  <c r="O7" i="1"/>
  <c r="N7" i="1"/>
  <c r="M7" i="1"/>
  <c r="O6" i="1"/>
  <c r="N6" i="1"/>
  <c r="M6" i="1"/>
  <c r="O5" i="1"/>
  <c r="N5" i="1"/>
  <c r="M5" i="1"/>
  <c r="O4" i="1"/>
  <c r="N4" i="1"/>
  <c r="M4" i="1"/>
  <c r="C314" i="1"/>
  <c r="A3" i="14"/>
  <c r="L9" i="23"/>
  <c r="N9" i="23"/>
  <c r="L10" i="23"/>
  <c r="M10" i="23"/>
  <c r="N10" i="23"/>
  <c r="L11" i="23"/>
  <c r="M11" i="23"/>
  <c r="N11" i="23"/>
  <c r="L12" i="23"/>
  <c r="M12" i="23"/>
  <c r="N12" i="23"/>
  <c r="L13" i="23"/>
  <c r="M13" i="23"/>
  <c r="N13" i="23"/>
  <c r="L14" i="23"/>
  <c r="M14" i="23"/>
  <c r="N14" i="23"/>
  <c r="L15" i="23"/>
  <c r="M15" i="23"/>
  <c r="N15" i="23"/>
  <c r="L16" i="23"/>
  <c r="M16" i="23"/>
  <c r="N16" i="23"/>
  <c r="L17" i="23"/>
  <c r="M17" i="23"/>
  <c r="N17" i="23"/>
  <c r="L18" i="23"/>
  <c r="M18" i="23"/>
  <c r="N18" i="23"/>
  <c r="L19" i="23"/>
  <c r="M19" i="23"/>
  <c r="N19" i="23"/>
  <c r="L20" i="23"/>
  <c r="M20" i="23"/>
  <c r="N20" i="23"/>
  <c r="N21" i="23"/>
  <c r="M21" i="23"/>
  <c r="L21" i="23"/>
  <c r="K21" i="23"/>
  <c r="J21" i="23"/>
  <c r="R9" i="23"/>
  <c r="Q9" i="23"/>
  <c r="S9" i="23"/>
  <c r="R10" i="23"/>
  <c r="Q10" i="23"/>
  <c r="S10" i="23"/>
  <c r="R11" i="23"/>
  <c r="Q11" i="23"/>
  <c r="S11" i="23"/>
  <c r="R12" i="23"/>
  <c r="Q12" i="23"/>
  <c r="S12" i="23"/>
  <c r="R13" i="23"/>
  <c r="Q13" i="23"/>
  <c r="S13" i="23"/>
  <c r="R14" i="23"/>
  <c r="Q14" i="23"/>
  <c r="S14" i="23"/>
  <c r="R15" i="23"/>
  <c r="Q15" i="23"/>
  <c r="S15" i="23"/>
  <c r="R16" i="23"/>
  <c r="Q16" i="23"/>
  <c r="S16" i="23"/>
  <c r="R17" i="23"/>
  <c r="Q17" i="23"/>
  <c r="S17" i="23"/>
  <c r="R18" i="23"/>
  <c r="Q18" i="23"/>
  <c r="S18" i="23"/>
  <c r="R19" i="23"/>
  <c r="Q19" i="23"/>
  <c r="S19" i="23"/>
  <c r="R20" i="23"/>
  <c r="Q20" i="23"/>
  <c r="S20" i="23"/>
  <c r="S21" i="23"/>
  <c r="R21" i="23"/>
  <c r="Q21" i="23"/>
  <c r="I21" i="23"/>
  <c r="H21" i="23"/>
  <c r="G21" i="23"/>
  <c r="F21" i="23"/>
  <c r="E21" i="23"/>
  <c r="D21" i="23"/>
  <c r="C21" i="23"/>
  <c r="B21" i="23"/>
  <c r="B21" i="2"/>
  <c r="C21" i="2"/>
  <c r="D21" i="2"/>
  <c r="E21" i="2"/>
  <c r="F21" i="2"/>
  <c r="G21" i="2"/>
  <c r="H21" i="2"/>
  <c r="I21" i="2"/>
  <c r="M20" i="2"/>
  <c r="M19" i="2"/>
  <c r="M18" i="2"/>
  <c r="M17" i="2"/>
  <c r="M16" i="2"/>
  <c r="M15" i="2"/>
  <c r="M14" i="2"/>
  <c r="M13" i="2"/>
  <c r="M12" i="2"/>
  <c r="M11" i="2"/>
  <c r="M10" i="2"/>
  <c r="C37" i="12"/>
  <c r="C9" i="12"/>
  <c r="C36" i="12"/>
  <c r="A9" i="12"/>
  <c r="C13" i="12"/>
  <c r="C54" i="12"/>
  <c r="B8" i="12"/>
  <c r="A53" i="12"/>
  <c r="A52" i="12"/>
  <c r="A36" i="12"/>
  <c r="A38" i="12"/>
  <c r="A35" i="12"/>
  <c r="A8" i="12"/>
  <c r="A12" i="12"/>
  <c r="A11" i="12"/>
  <c r="A10" i="12"/>
  <c r="A7" i="12"/>
  <c r="A6" i="12"/>
  <c r="B11" i="12"/>
  <c r="A317" i="1"/>
  <c r="A320" i="1"/>
  <c r="B12" i="12"/>
  <c r="B7" i="12"/>
  <c r="B9" i="12"/>
  <c r="B10" i="12"/>
  <c r="A340" i="1"/>
  <c r="A342" i="1"/>
  <c r="B53" i="12"/>
  <c r="A327" i="1"/>
  <c r="A329" i="1"/>
  <c r="A331" i="1"/>
  <c r="A333" i="1"/>
  <c r="A335" i="1"/>
  <c r="B52" i="12"/>
  <c r="B54" i="12"/>
  <c r="B6" i="12"/>
  <c r="B13" i="12"/>
  <c r="C38" i="12"/>
  <c r="B36" i="12"/>
  <c r="B35" i="12"/>
  <c r="B37" i="12"/>
  <c r="C35" i="12"/>
  <c r="B38" i="12"/>
  <c r="E86" i="14"/>
  <c r="D86" i="14"/>
  <c r="C86" i="14"/>
  <c r="E67" i="14"/>
  <c r="D67" i="14"/>
  <c r="C67" i="14"/>
  <c r="A83" i="14"/>
  <c r="J78" i="14"/>
  <c r="I78" i="14"/>
  <c r="J71" i="14"/>
  <c r="J74" i="14"/>
  <c r="J75" i="14"/>
  <c r="I71" i="14"/>
  <c r="I74" i="14"/>
  <c r="I75" i="14"/>
  <c r="J72" i="14"/>
  <c r="I72" i="14"/>
  <c r="H78" i="14"/>
  <c r="G78" i="14"/>
  <c r="H71" i="14"/>
  <c r="H74" i="14"/>
  <c r="H75" i="14"/>
  <c r="G71" i="14"/>
  <c r="G74" i="14"/>
  <c r="G75" i="14"/>
  <c r="H72" i="14"/>
  <c r="G72" i="14"/>
  <c r="F78" i="14"/>
  <c r="E78" i="14"/>
  <c r="F71" i="14"/>
  <c r="F74" i="14"/>
  <c r="F75" i="14"/>
  <c r="E71" i="14"/>
  <c r="E74" i="14"/>
  <c r="E75" i="14"/>
  <c r="F72" i="14"/>
  <c r="E72" i="14"/>
  <c r="D78" i="14"/>
  <c r="C78" i="14"/>
  <c r="D71" i="14"/>
  <c r="D74" i="14"/>
  <c r="D75" i="14"/>
  <c r="C71" i="14"/>
  <c r="C74" i="14"/>
  <c r="C75" i="14"/>
  <c r="D72" i="14"/>
  <c r="C72" i="14"/>
  <c r="A9" i="14"/>
  <c r="A36" i="14"/>
  <c r="A27" i="14"/>
  <c r="A29" i="14"/>
  <c r="A37" i="14"/>
  <c r="A13" i="14"/>
  <c r="A15" i="14"/>
  <c r="A22" i="14"/>
  <c r="A23" i="14"/>
  <c r="A6" i="14"/>
  <c r="A54" i="14"/>
  <c r="A55" i="14"/>
  <c r="A50" i="14"/>
  <c r="A40" i="14"/>
  <c r="A43" i="14"/>
  <c r="A51" i="14"/>
  <c r="A7" i="14"/>
  <c r="C309" i="1"/>
  <c r="A30" i="14"/>
  <c r="A33" i="14"/>
  <c r="A31" i="14"/>
  <c r="C310" i="1"/>
  <c r="A16" i="14"/>
  <c r="A19" i="14"/>
  <c r="A17" i="14"/>
  <c r="C311" i="1"/>
  <c r="A44" i="14"/>
  <c r="A47" i="14"/>
  <c r="A45" i="14"/>
  <c r="Q9" i="2"/>
  <c r="Q11" i="2"/>
  <c r="Q12" i="2"/>
  <c r="Q13" i="2"/>
  <c r="Q14" i="2"/>
  <c r="Q15" i="2"/>
  <c r="Q16" i="2"/>
  <c r="Q17" i="2"/>
  <c r="Q18" i="2"/>
  <c r="Q19" i="2"/>
  <c r="Q20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N9" i="2"/>
  <c r="R9" i="2"/>
  <c r="S9" i="2"/>
  <c r="N11" i="2"/>
  <c r="R11" i="2"/>
  <c r="S11" i="2"/>
  <c r="N12" i="2"/>
  <c r="R12" i="2"/>
  <c r="S12" i="2"/>
  <c r="N13" i="2"/>
  <c r="R13" i="2"/>
  <c r="S13" i="2"/>
  <c r="N14" i="2"/>
  <c r="R14" i="2"/>
  <c r="S14" i="2"/>
  <c r="N15" i="2"/>
  <c r="R15" i="2"/>
  <c r="S15" i="2"/>
  <c r="N16" i="2"/>
  <c r="R16" i="2"/>
  <c r="S16" i="2"/>
  <c r="N17" i="2"/>
  <c r="R17" i="2"/>
  <c r="S17" i="2"/>
  <c r="N18" i="2"/>
  <c r="R18" i="2"/>
  <c r="S18" i="2"/>
  <c r="N19" i="2"/>
  <c r="R19" i="2"/>
  <c r="S19" i="2"/>
  <c r="N20" i="2"/>
  <c r="R20" i="2"/>
  <c r="S20" i="2"/>
  <c r="A278" i="1"/>
  <c r="E278" i="1"/>
  <c r="A271" i="1"/>
  <c r="O13" i="1"/>
  <c r="N13" i="1"/>
  <c r="M13" i="1"/>
  <c r="O21" i="1"/>
  <c r="N21" i="1"/>
  <c r="M21" i="1"/>
  <c r="O20" i="1"/>
  <c r="N20" i="1"/>
  <c r="M20" i="1"/>
  <c r="Q25" i="1"/>
  <c r="P25" i="1"/>
  <c r="M25" i="1"/>
  <c r="Q24" i="1"/>
  <c r="P24" i="1"/>
  <c r="M24" i="1"/>
  <c r="O19" i="1"/>
  <c r="N19" i="1"/>
  <c r="D80" i="1"/>
  <c r="M19" i="1"/>
  <c r="N18" i="1"/>
  <c r="M18" i="1"/>
  <c r="O17" i="1"/>
  <c r="N17" i="1"/>
  <c r="M17" i="1"/>
  <c r="O16" i="1"/>
  <c r="N16" i="1"/>
  <c r="D79" i="1"/>
  <c r="M16" i="1"/>
  <c r="O12" i="1"/>
  <c r="N12" i="1"/>
  <c r="M12" i="1"/>
  <c r="O11" i="1"/>
  <c r="N11" i="1"/>
  <c r="M11" i="1"/>
  <c r="O10" i="1"/>
  <c r="N10" i="1"/>
  <c r="M10" i="1"/>
  <c r="C80" i="1"/>
  <c r="D82" i="1"/>
  <c r="C82" i="1"/>
  <c r="A248" i="1"/>
  <c r="A258" i="1"/>
  <c r="A255" i="1"/>
  <c r="A257" i="1"/>
  <c r="A250" i="1"/>
  <c r="C83" i="1"/>
  <c r="C79" i="1"/>
  <c r="A107" i="1"/>
  <c r="C297" i="1"/>
  <c r="C81" i="1"/>
  <c r="A432" i="1"/>
  <c r="A433" i="1"/>
  <c r="A435" i="1"/>
  <c r="A438" i="1"/>
  <c r="A437" i="1"/>
  <c r="A371" i="1"/>
  <c r="E368" i="1"/>
  <c r="A351" i="1"/>
  <c r="A361" i="1"/>
  <c r="A347" i="1"/>
  <c r="C304" i="1"/>
  <c r="C302" i="1"/>
  <c r="C301" i="1"/>
  <c r="C300" i="1"/>
  <c r="C299" i="1"/>
  <c r="C298" i="1"/>
  <c r="C312" i="1"/>
  <c r="C308" i="1"/>
  <c r="C293" i="1"/>
  <c r="A444" i="1"/>
  <c r="A446" i="1"/>
  <c r="A447" i="1"/>
  <c r="A449" i="1"/>
  <c r="A440" i="1"/>
  <c r="A441" i="1"/>
  <c r="C414" i="1"/>
  <c r="C415" i="1"/>
  <c r="A414" i="1"/>
  <c r="A415" i="1"/>
  <c r="C410" i="1"/>
  <c r="A410" i="1"/>
  <c r="C406" i="1"/>
  <c r="A406" i="1"/>
  <c r="C404" i="1"/>
  <c r="C405" i="1"/>
  <c r="A404" i="1"/>
  <c r="A405" i="1"/>
  <c r="A375" i="1"/>
  <c r="A376" i="1"/>
  <c r="A378" i="1"/>
  <c r="A379" i="1"/>
  <c r="A381" i="1"/>
  <c r="A263" i="1"/>
  <c r="A264" i="1"/>
  <c r="A265" i="1"/>
  <c r="E359" i="1"/>
  <c r="A352" i="1"/>
  <c r="E352" i="1"/>
  <c r="E351" i="1"/>
  <c r="A348" i="1"/>
  <c r="E348" i="1"/>
  <c r="E347" i="1"/>
  <c r="A321" i="1"/>
  <c r="A322" i="1"/>
  <c r="D37" i="3"/>
  <c r="D39" i="3"/>
  <c r="D41" i="3"/>
  <c r="D43" i="3"/>
  <c r="H45" i="3"/>
  <c r="C48" i="3"/>
  <c r="F48" i="3"/>
  <c r="C45" i="3"/>
  <c r="C46" i="3"/>
  <c r="F46" i="3"/>
  <c r="C43" i="3"/>
  <c r="C44" i="3"/>
  <c r="F44" i="3"/>
  <c r="C41" i="3"/>
  <c r="C42" i="3"/>
  <c r="F42" i="3"/>
  <c r="C39" i="3"/>
  <c r="C40" i="3"/>
  <c r="F40" i="3"/>
  <c r="C37" i="3"/>
  <c r="C38" i="3"/>
  <c r="F38" i="3"/>
  <c r="C35" i="3"/>
  <c r="C36" i="3"/>
  <c r="F36" i="3"/>
  <c r="C34" i="3"/>
  <c r="F34" i="3"/>
  <c r="C32" i="3"/>
  <c r="F32" i="3"/>
  <c r="D45" i="3"/>
  <c r="D31" i="3"/>
  <c r="D33" i="3"/>
  <c r="D35" i="3"/>
  <c r="D47" i="3"/>
  <c r="D30" i="3"/>
  <c r="D28" i="3"/>
  <c r="D27" i="3"/>
  <c r="D22" i="3"/>
  <c r="D23" i="3"/>
  <c r="D24" i="3"/>
  <c r="D21" i="3"/>
  <c r="D5" i="3"/>
  <c r="D15" i="3"/>
  <c r="C18" i="3"/>
  <c r="C24" i="3"/>
  <c r="C19" i="3"/>
  <c r="C22" i="3"/>
  <c r="C5" i="3"/>
  <c r="C23" i="3"/>
  <c r="D13" i="3"/>
  <c r="D12" i="3"/>
  <c r="D8" i="3"/>
  <c r="D9" i="3"/>
  <c r="D10" i="3"/>
  <c r="D7" i="3"/>
  <c r="D13" i="4"/>
  <c r="D12" i="4"/>
  <c r="D25" i="4"/>
  <c r="C25" i="4"/>
  <c r="B25" i="4"/>
  <c r="D17" i="4"/>
  <c r="D16" i="4"/>
  <c r="D15" i="4"/>
  <c r="D14" i="4"/>
  <c r="B5" i="4"/>
  <c r="B6" i="4"/>
  <c r="A5" i="4"/>
  <c r="N10" i="2"/>
  <c r="N21" i="2"/>
  <c r="R10" i="2"/>
  <c r="R21" i="2"/>
  <c r="Q10" i="2"/>
  <c r="S10" i="2"/>
  <c r="S21" i="2"/>
  <c r="Q21" i="2"/>
  <c r="O18" i="1"/>
</calcChain>
</file>

<file path=xl/sharedStrings.xml><?xml version="1.0" encoding="utf-8"?>
<sst xmlns="http://schemas.openxmlformats.org/spreadsheetml/2006/main" count="1009" uniqueCount="605">
  <si>
    <t>Produce from site eaten</t>
  </si>
  <si>
    <t>Carbon effects</t>
  </si>
  <si>
    <t>Groundwater infiltration less metered water</t>
  </si>
  <si>
    <t>hcf/yr</t>
  </si>
  <si>
    <t>Net runoff</t>
  </si>
  <si>
    <t>Run-on (flow)</t>
  </si>
  <si>
    <t>Width</t>
  </si>
  <si>
    <t>in/hr</t>
  </si>
  <si>
    <t>Infiltation volume</t>
  </si>
  <si>
    <t>Time to fill at peak flow</t>
  </si>
  <si>
    <t>min/in</t>
  </si>
  <si>
    <t>Infiltration rate</t>
  </si>
  <si>
    <t>ft/ day</t>
  </si>
  <si>
    <t>Daily infiltration</t>
  </si>
  <si>
    <t>gal/ft2/day</t>
  </si>
  <si>
    <t>Daily infiltration rate/area</t>
  </si>
  <si>
    <t>Max rain rate to infiltrate all water</t>
  </si>
  <si>
    <t>Rain days/ year</t>
  </si>
  <si>
    <t>hrs</t>
  </si>
  <si>
    <t>% time w/ rain</t>
  </si>
  <si>
    <t>1100 gal</t>
  </si>
  <si>
    <t>Rainwater</t>
  </si>
  <si>
    <t>Specified Data</t>
  </si>
  <si>
    <t>l  = length of pipe (ft)</t>
  </si>
  <si>
    <t xml:space="preserve">c = Hazen-Williams roughness constant </t>
  </si>
  <si>
    <t>q = volume flow (gal/min)</t>
  </si>
  <si>
    <t>dh = inside or hydraulic diameter (inches)</t>
  </si>
  <si>
    <t>Calculated Pressure Loss</t>
  </si>
  <si>
    <t>f = friction head loss in feet of water per 100 feet of pipe (ft H20 per 100 ft pipe)</t>
  </si>
  <si>
    <t>f = friction head loss in psi of water per 100 feet of pipe (psi per 100 ft pipe)</t>
  </si>
  <si>
    <t>Head loss (ft H20)</t>
  </si>
  <si>
    <t>indoor estimate</t>
  </si>
  <si>
    <t>av outdoor usage</t>
  </si>
  <si>
    <r>
      <rPr>
        <b/>
        <sz val="10"/>
        <rFont val="Verdana"/>
      </rPr>
      <t>Metered water usage</t>
    </r>
  </si>
  <si>
    <t>Laundry check</t>
  </si>
  <si>
    <t>People</t>
  </si>
  <si>
    <t>Loads/ week</t>
  </si>
  <si>
    <t>gal/ load</t>
  </si>
  <si>
    <r>
      <t xml:space="preserve">Reusable </t>
    </r>
    <r>
      <rPr>
        <b/>
        <sz val="10"/>
        <rFont val="Verdana"/>
      </rPr>
      <t>water</t>
    </r>
  </si>
  <si>
    <t>Reusable Greywater-pre conservation</t>
  </si>
  <si>
    <t>Reusable Greywater-post conservation</t>
  </si>
  <si>
    <t>Average population</t>
  </si>
  <si>
    <t>NO RO</t>
  </si>
  <si>
    <t>Reference drought year rainfall</t>
  </si>
  <si>
    <t>Reference peak rainfall event</t>
  </si>
  <si>
    <t>Irrigated area not lawn</t>
    <phoneticPr fontId="30" type="noConversion"/>
  </si>
  <si>
    <t>Saturated soil perk rate</t>
    <phoneticPr fontId="30" type="noConversion"/>
  </si>
  <si>
    <t>Min/in</t>
    <phoneticPr fontId="30" type="noConversion"/>
  </si>
  <si>
    <t>Pinapple guavas</t>
  </si>
  <si>
    <t>Navel oranges</t>
  </si>
  <si>
    <t>Valencia oranges</t>
  </si>
  <si>
    <t>Tangerines</t>
  </si>
  <si>
    <t>Passion fruit</t>
  </si>
  <si>
    <t>Tomatoes</t>
  </si>
  <si>
    <t>lbs Fruit</t>
  </si>
  <si>
    <t>lbs/ day av.  Fruit</t>
  </si>
  <si>
    <t>Number of trees</t>
  </si>
  <si>
    <t>Apple Anna</t>
  </si>
  <si>
    <t>Apple fuji</t>
  </si>
  <si>
    <t>Apples dorsett</t>
  </si>
  <si>
    <t>Nectarine</t>
  </si>
  <si>
    <t>http://www.californiaavocado.com/fun-avocado-facts/</t>
  </si>
  <si>
    <t>Avocado</t>
  </si>
  <si>
    <t>http://aggie-horticulture.tamu.edu/citrus/oranges.htm</t>
  </si>
  <si>
    <t>http://urbanext.illinois.edu/apples/facts.cfm</t>
  </si>
  <si>
    <t>Climate Effects</t>
  </si>
  <si>
    <t xml:space="preserve">Carbon stored in mulch </t>
  </si>
  <si>
    <t>Carbon stored in biomass</t>
  </si>
  <si>
    <t>CO2 reduction equivalent from yard waste going to CO2 instead of CH3</t>
  </si>
  <si>
    <t>lbs culinary herbs</t>
  </si>
  <si>
    <t>Others</t>
  </si>
  <si>
    <t>Chard</t>
  </si>
  <si>
    <t>lbs vegetables</t>
  </si>
  <si>
    <t>These are sample numbers</t>
  </si>
  <si>
    <t>lbs/ day av.  Vegetables</t>
  </si>
  <si>
    <t>Best link: http://www.johnjeavons.info/worldofhope_episode5.html</t>
  </si>
  <si>
    <t>Landfill effects</t>
  </si>
  <si>
    <t>Total area</t>
  </si>
  <si>
    <t>Other unmulched</t>
  </si>
  <si>
    <t>Mulched area</t>
  </si>
  <si>
    <t>Average mulch depth</t>
  </si>
  <si>
    <t>Average mulch application/ yr</t>
  </si>
  <si>
    <t>Landfill avoided</t>
  </si>
  <si>
    <t>yd3</t>
  </si>
  <si>
    <t>Deep green</t>
  </si>
  <si>
    <t>Carbon sequestered in soil organic matter</t>
  </si>
  <si>
    <t>Mulch</t>
  </si>
  <si>
    <t>Total mulch volume</t>
  </si>
  <si>
    <t>lbs/ yd3</t>
  </si>
  <si>
    <t>dry weight</t>
  </si>
  <si>
    <t>Historical Water Consumption</t>
  </si>
  <si>
    <t>Indoor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</si>
  <si>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</si>
  <si>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</si>
  <si>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</si>
  <si>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</si>
  <si>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</si>
  <si>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</si>
  <si>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</si>
  <si>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</si>
  <si>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</si>
  <si>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</si>
  <si>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</si>
  <si>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</si>
  <si>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</si>
  <si>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Elevations of water elements</t>
    <phoneticPr fontId="30" type="noConversion"/>
  </si>
  <si>
    <t>Solar eletric</t>
  </si>
  <si>
    <t>Yard waste to landfill hauling carbon cost</t>
  </si>
  <si>
    <t>Lawn replacement</t>
  </si>
  <si>
    <t>% change</t>
  </si>
  <si>
    <t>gpy change</t>
  </si>
  <si>
    <t>Indoor rainwater use</t>
  </si>
  <si>
    <t>days</t>
  </si>
  <si>
    <t>Average of rooftop rain available at tanks over season</t>
  </si>
  <si>
    <t>Tank size</t>
  </si>
  <si>
    <t>Rainfall to refill tank</t>
  </si>
  <si>
    <t>Irrigation with rainwater</t>
  </si>
  <si>
    <t>Eligible use met by rain</t>
  </si>
  <si>
    <t>Estimated % of time tank has water during rainy season</t>
  </si>
  <si>
    <t>Water commons effects</t>
  </si>
  <si>
    <t>increase in infiltration</t>
  </si>
  <si>
    <t>decrease in runoff</t>
  </si>
  <si>
    <t>Clearwater (R/O drain)</t>
  </si>
  <si>
    <t>Guess</t>
  </si>
  <si>
    <t>Run-on</t>
  </si>
  <si>
    <t>Indoor efficiency</t>
  </si>
  <si>
    <t>% of total</t>
  </si>
  <si>
    <t>% reduction</t>
  </si>
  <si>
    <t>Shower-Eco luxury bathing chamber</t>
  </si>
  <si>
    <t>Toilet-UHE toilet</t>
  </si>
  <si>
    <t>average popoulation</t>
  </si>
  <si>
    <t>gpd</t>
  </si>
  <si>
    <t>gpd/capita</t>
  </si>
  <si>
    <t>gpy</t>
  </si>
  <si>
    <t>Indoor use</t>
  </si>
  <si>
    <t>m3/day</t>
  </si>
  <si>
    <t>Estimated outdoor usage</t>
  </si>
  <si>
    <t>Av. Width (approx)</t>
  </si>
  <si>
    <t>Av. Breadth (approx)</t>
  </si>
  <si>
    <t>Area</t>
  </si>
  <si>
    <t>Ft of irrigation</t>
  </si>
  <si>
    <t>Estimated irrigation</t>
  </si>
  <si>
    <t>gal/ yr</t>
  </si>
  <si>
    <t>Portion of outdoor usage</t>
  </si>
  <si>
    <t>Water feature evaporation</t>
  </si>
  <si>
    <t>Outdoor</t>
  </si>
  <si>
    <t>deep green</t>
  </si>
  <si>
    <t>conventional</t>
  </si>
  <si>
    <t>www.watertanks.com/category/367/</t>
  </si>
  <si>
    <t xml:space="preserve">Optional-Would require some permiting descretion be exercised in our </t>
  </si>
  <si>
    <t>Rainwater Tank diminsions</t>
  </si>
  <si>
    <t>Kitchen greywater</t>
  </si>
  <si>
    <t>ft  width</t>
  </si>
  <si>
    <t>ft length per unit</t>
  </si>
  <si>
    <t>units</t>
  </si>
  <si>
    <t>ft2 infiltration area (approx)</t>
  </si>
  <si>
    <t>gpd loading</t>
  </si>
  <si>
    <t>outlets</t>
  </si>
  <si>
    <t>peak people</t>
  </si>
  <si>
    <t>gal/ person (estimate)</t>
  </si>
  <si>
    <t>Arc 18 from infiltrator systems</t>
  </si>
  <si>
    <t>ft height</t>
  </si>
  <si>
    <t>ft3 volume</t>
  </si>
  <si>
    <t>gal volume</t>
  </si>
  <si>
    <t>gpd average loading per outlet</t>
  </si>
  <si>
    <t>gal/ ft2 av loading</t>
  </si>
  <si>
    <t>gpd peak load</t>
  </si>
  <si>
    <t>This system looks like it could take the surge from a 90 person event but probably not a 300 person event.</t>
  </si>
  <si>
    <t>gpd reusable greywater</t>
  </si>
  <si>
    <t>Head loss (psi)</t>
  </si>
  <si>
    <t>Calculated Flow Velocity</t>
  </si>
  <si>
    <t>v = flow velocity (ft/s)</t>
  </si>
  <si>
    <t>To first outlet</t>
  </si>
  <si>
    <t>Laundry to Landscape Flow</t>
  </si>
  <si>
    <t>ft from wall to tee point</t>
  </si>
  <si>
    <t>Zone 1</t>
  </si>
  <si>
    <t>ft to edge of property</t>
  </si>
  <si>
    <t>Lawn area</t>
  </si>
  <si>
    <t>LAWN IS GONE</t>
  </si>
  <si>
    <t>Lawn- REPLACED</t>
  </si>
  <si>
    <t>Savings</t>
  </si>
  <si>
    <t>NO WATER FEATURE</t>
  </si>
  <si>
    <t>Mulched</t>
  </si>
  <si>
    <t>Less structure foot print, min clearance</t>
  </si>
  <si>
    <t>Hardscape</t>
  </si>
  <si>
    <t>Eligible for mulching</t>
  </si>
  <si>
    <t>SUMMARY</t>
  </si>
  <si>
    <t>Total greywater</t>
  </si>
  <si>
    <t>Before</t>
  </si>
  <si>
    <t>After</t>
  </si>
  <si>
    <t>20 yrs</t>
  </si>
  <si>
    <t>Food production</t>
  </si>
  <si>
    <t>5yrs</t>
  </si>
  <si>
    <t>Peaches</t>
  </si>
  <si>
    <t>Apricots</t>
  </si>
  <si>
    <t>Bananas</t>
  </si>
  <si>
    <t>Rosemary</t>
  </si>
  <si>
    <t>Tyme</t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</si>
  <si>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1: 1,500 gal 72” diameter; 93” tall; tanks fill and drain as one unit</t>
    </r>
  </si>
  <si>
    <r>
      <rPr>
        <b/>
        <sz val="11"/>
        <color indexed="8"/>
        <rFont val="Calibri"/>
      </rPr>
      <t>Tank-2</t>
    </r>
    <r>
      <rPr>
        <sz val="11"/>
        <color indexed="8"/>
        <rFont val="Calibri"/>
      </rPr>
      <t>: 1,500 gal 72” diameter; 93” tall; tanks fill and drain as one unit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</si>
  <si>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3 out: 1,550 gallons; 88” diameter; 67’  tall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</si>
  <si>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5 out: 325 gal; 43” diameter; 60’  tall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</si>
  <si>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6 out: 325 gal; 43” diameter; 60’  tall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</si>
  <si>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7out: 325 gal; 43” diameter; 60’  tall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</si>
  <si>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3 in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</si>
  <si>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4 out: 325 gal; 43” diameter; 60’  tall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</si>
  <si>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4 in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</si>
  <si>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5 in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</si>
  <si>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6 in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</si>
  <si>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7 in</t>
    </r>
  </si>
  <si>
    <r>
      <t>Tank-</t>
    </r>
    <r>
      <rPr>
        <sz val="11"/>
        <color indexed="8"/>
        <rFont val="Calibri"/>
      </rPr>
      <t>1 in</t>
    </r>
  </si>
  <si>
    <t>Check</t>
  </si>
  <si>
    <r>
      <t>Tank-2</t>
    </r>
    <r>
      <rPr>
        <sz val="11"/>
        <color indexed="8"/>
        <rFont val="Calibri"/>
      </rPr>
      <t xml:space="preserve"> in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</si>
  <si>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8 in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</si>
  <si>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8 out: 5000 gal; 144” diameter; 87’  tall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</si>
  <si>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9 in</t>
    </r>
  </si>
  <si>
    <r>
      <rPr>
        <b/>
        <sz val="11"/>
        <color indexed="8"/>
        <rFont val="Calibri"/>
      </rPr>
      <t>Tank-</t>
    </r>
    <r>
      <rPr>
        <sz val="11"/>
        <color indexed="8"/>
        <rFont val="Calibri"/>
      </rPr>
      <t>9 out: 1100 gal; 86” diameter; 53’  tall</t>
    </r>
  </si>
  <si>
    <r>
      <rPr>
        <b/>
        <sz val="11"/>
        <color indexed="8"/>
        <rFont val="Calibri"/>
      </rPr>
      <t>ROF</t>
    </r>
    <r>
      <rPr>
        <sz val="11"/>
        <color indexed="8"/>
        <rFont val="Calibri"/>
      </rPr>
      <t>-NW corner drainage entry</t>
    </r>
  </si>
  <si>
    <r>
      <rPr>
        <b/>
        <sz val="11"/>
        <color indexed="8"/>
        <rFont val="Calibri"/>
      </rPr>
      <t>ROF</t>
    </r>
    <r>
      <rPr>
        <sz val="11"/>
        <color indexed="8"/>
        <rFont val="Calibri"/>
      </rPr>
      <t>-SW Drainage exit</t>
    </r>
  </si>
  <si>
    <r>
      <rPr>
        <b/>
        <sz val="11"/>
        <color indexed="8"/>
        <rFont val="Calibri"/>
      </rPr>
      <t>FT</t>
    </r>
    <r>
      <rPr>
        <sz val="11"/>
        <color indexed="8"/>
        <rFont val="Calibri"/>
      </rPr>
      <t>-Upper fruit tree 1</t>
    </r>
  </si>
  <si>
    <r>
      <rPr>
        <b/>
        <sz val="11"/>
        <color indexed="8"/>
        <rFont val="Calibri"/>
      </rPr>
      <t>FT</t>
    </r>
    <r>
      <rPr>
        <sz val="11"/>
        <color indexed="8"/>
        <rFont val="Calibri"/>
      </rPr>
      <t>-Upper fruit tree 2</t>
    </r>
  </si>
  <si>
    <r>
      <rPr>
        <b/>
        <sz val="11"/>
        <color indexed="8"/>
        <rFont val="Calibri"/>
      </rPr>
      <t>FT</t>
    </r>
    <r>
      <rPr>
        <sz val="11"/>
        <color indexed="8"/>
        <rFont val="Calibri"/>
      </rPr>
      <t>-Lower fruit tree 1</t>
    </r>
  </si>
  <si>
    <r>
      <rPr>
        <b/>
        <sz val="11"/>
        <color indexed="8"/>
        <rFont val="Calibri"/>
      </rPr>
      <t>FT</t>
    </r>
    <r>
      <rPr>
        <sz val="11"/>
        <color indexed="8"/>
        <rFont val="Calibri"/>
      </rPr>
      <t>-Lower fruit tree 2</t>
    </r>
  </si>
  <si>
    <r>
      <rPr>
        <b/>
        <sz val="11"/>
        <color indexed="8"/>
        <rFont val="Calibri"/>
      </rPr>
      <t>FT</t>
    </r>
    <r>
      <rPr>
        <sz val="11"/>
        <color indexed="8"/>
        <rFont val="Calibri"/>
      </rPr>
      <t>-Lower fruit tree 3</t>
    </r>
  </si>
  <si>
    <t>FT-Irrigated trees SUBTOTAL</t>
  </si>
  <si>
    <r>
      <rPr>
        <b/>
        <sz val="11"/>
        <color indexed="8"/>
        <rFont val="Calibri"/>
      </rPr>
      <t>WF</t>
    </r>
    <r>
      <rPr>
        <sz val="11"/>
        <color indexed="8"/>
        <rFont val="Calibri"/>
      </rPr>
      <t>-Ex. Recirculating stream top</t>
    </r>
  </si>
  <si>
    <r>
      <rPr>
        <b/>
        <sz val="11"/>
        <color indexed="8"/>
        <rFont val="Calibri"/>
      </rPr>
      <t>WF</t>
    </r>
    <r>
      <rPr>
        <sz val="11"/>
        <color indexed="8"/>
        <rFont val="Calibri"/>
      </rPr>
      <t>-Ex. Recirculating stream bottom</t>
    </r>
  </si>
  <si>
    <t>WF-(New feature  by oak patio)</t>
  </si>
  <si>
    <t>Stor-Soil sponge top</t>
  </si>
  <si>
    <r>
      <rPr>
        <b/>
        <sz val="11"/>
        <color indexed="8"/>
        <rFont val="Calibri"/>
      </rPr>
      <t>Stor</t>
    </r>
    <r>
      <rPr>
        <sz val="11"/>
        <color indexed="8"/>
        <rFont val="Calibri"/>
      </rPr>
      <t>-Soil sponge top</t>
    </r>
  </si>
  <si>
    <r>
      <rPr>
        <b/>
        <sz val="11"/>
        <color indexed="8"/>
        <rFont val="Calibri"/>
      </rPr>
      <t>Stor</t>
    </r>
    <r>
      <rPr>
        <sz val="11"/>
        <color indexed="8"/>
        <rFont val="Calibri"/>
      </rPr>
      <t>-Soil sponge bottom</t>
    </r>
  </si>
  <si>
    <t>Tank-SUBTOTAL</t>
  </si>
  <si>
    <t>Theoretical max storage</t>
  </si>
  <si>
    <t>Usable storage</t>
  </si>
  <si>
    <t>Storage in tanks</t>
  </si>
  <si>
    <t>Tank</t>
  </si>
  <si>
    <t>Total tank volume</t>
  </si>
  <si>
    <t>Estimated indoor usage</t>
  </si>
  <si>
    <t>Estimate</t>
  </si>
  <si>
    <t>Evaportation total</t>
  </si>
  <si>
    <t>[add if desired]</t>
  </si>
  <si>
    <t>min</t>
  </si>
  <si>
    <t>Accessory structures</t>
  </si>
  <si>
    <t>Flow</t>
  </si>
  <si>
    <t>days/yr flow</t>
  </si>
  <si>
    <t>Recovery to ET percentage</t>
  </si>
  <si>
    <t>Irrigation water savings</t>
  </si>
  <si>
    <t>To aquifer</t>
  </si>
  <si>
    <t>Groundwater infiltration total</t>
  </si>
  <si>
    <t>area of lot</t>
  </si>
  <si>
    <t>ft2</t>
  </si>
  <si>
    <t>in</t>
  </si>
  <si>
    <t>gal/yr</t>
  </si>
  <si>
    <t>m3/yr</t>
  </si>
  <si>
    <t>ft</t>
  </si>
  <si>
    <t>Metered water</t>
  </si>
  <si>
    <t>ft3</t>
  </si>
  <si>
    <t>Notes</t>
    <phoneticPr fontId="30" type="noConversion"/>
  </si>
  <si>
    <t>USEFUL Dynamic range</t>
  </si>
  <si>
    <t>IR-Lawn</t>
  </si>
  <si>
    <t>average</t>
  </si>
  <si>
    <t>CW-R/O drain water</t>
  </si>
  <si>
    <t>RWR-North downspout-Area A</t>
  </si>
  <si>
    <t>RWR-West downspout area B and C</t>
  </si>
  <si>
    <t>RWR-Guest house downspout</t>
  </si>
  <si>
    <t>ROF-NE corner road diversion</t>
  </si>
  <si>
    <t>ROF-SE corner road diversion</t>
  </si>
  <si>
    <t>ROF-NW corner drainage entry</t>
  </si>
  <si>
    <t>ROF-SW Drainage exit</t>
  </si>
  <si>
    <t>House-bottom floor</t>
  </si>
  <si>
    <t>GW-Laundry</t>
  </si>
  <si>
    <t>GW-Kitchen sink</t>
  </si>
  <si>
    <t>GW-Main floor Shower</t>
  </si>
  <si>
    <t>Stor-Soil sponge bottom</t>
  </si>
  <si>
    <t>Tank-1: 1,500 gal 72” diameter; 93” tall; tanks fill and drain as one unit</t>
  </si>
  <si>
    <t>Tank-1 in</t>
  </si>
  <si>
    <t>Tank-2: 1,500 gal 72” diameter; 93” tall; tanks fill and drain as one unit</t>
  </si>
  <si>
    <t>Tank-2 in</t>
  </si>
  <si>
    <t>Tank-3 out: 1,550 gallons; 88” diameter; 67’  tall</t>
  </si>
  <si>
    <t>Tank-3 in</t>
  </si>
  <si>
    <t>Tank-4 out: 325 gal; 43” diameter; 60’  tall</t>
  </si>
  <si>
    <t>Tank-4 in</t>
  </si>
  <si>
    <t>Tank-5 out: 325 gal; 43” diameter; 60’  tall</t>
  </si>
  <si>
    <t>Tank-5 in</t>
  </si>
  <si>
    <t>Tank-6 out: 325 gal; 43” diameter; 60’  tall</t>
  </si>
  <si>
    <t>Tank-6 in</t>
  </si>
  <si>
    <t>Tank-7out: 325 gal; 43” diameter; 60’  tall</t>
  </si>
  <si>
    <t>Tank-7 in</t>
  </si>
  <si>
    <t>Tank-8 out: 5000 gal; 144” diameter; 87’  tall</t>
  </si>
  <si>
    <t>Tank-8 in</t>
  </si>
  <si>
    <t>Tank-9 out: 1100 gal; 86” diameter; 53’  tall</t>
  </si>
  <si>
    <t>Tank-9 in</t>
  </si>
  <si>
    <t>FT-Upper fruit tree 1</t>
  </si>
  <si>
    <t>FT-Upper fruit tree 2</t>
  </si>
  <si>
    <t>FT-Lower fruit tree 1</t>
  </si>
  <si>
    <t>FT-Lower fruit tree 2</t>
  </si>
  <si>
    <t>FT-Lower fruit tree 3</t>
  </si>
  <si>
    <t>WF-Ex. Recirculating stream top</t>
  </si>
  <si>
    <t>WF-Ex. Recirculating stream bottom</t>
  </si>
  <si>
    <t>CHART SOURCE</t>
  </si>
  <si>
    <t xml:space="preserve">Tank height </t>
  </si>
  <si>
    <t>gal</t>
  </si>
  <si>
    <t>gal/day</t>
  </si>
  <si>
    <t>Storage in soil</t>
  </si>
  <si>
    <t>ft to bottom edge</t>
  </si>
  <si>
    <t>pipe size</t>
  </si>
  <si>
    <t>Bathroom gw (two systems)</t>
  </si>
  <si>
    <t>Total outlets</t>
  </si>
  <si>
    <t>gal/ ft2 peak load</t>
  </si>
  <si>
    <r>
      <t>Water Income-In</t>
    </r>
    <r>
      <rPr>
        <b/>
        <sz val="10"/>
        <rFont val="Verdana"/>
      </rPr>
      <t>dividual</t>
    </r>
  </si>
  <si>
    <t>Total water income-Individual</t>
  </si>
  <si>
    <t>Average</t>
  </si>
  <si>
    <t>Diameter of tank</t>
  </si>
  <si>
    <t>Av hours/day uncovered</t>
  </si>
  <si>
    <t>Adjusted evaporation</t>
  </si>
  <si>
    <t>in/day</t>
  </si>
  <si>
    <t>days/yr</t>
  </si>
  <si>
    <t>Use days</t>
  </si>
  <si>
    <t>Trees= plan</t>
  </si>
  <si>
    <t>gpm</t>
  </si>
  <si>
    <t>lbs/yr</t>
  </si>
  <si>
    <t>Lemons</t>
  </si>
  <si>
    <t>Limes</t>
  </si>
  <si>
    <r>
      <rPr>
        <b/>
        <sz val="11"/>
        <color indexed="8"/>
        <rFont val="Calibri"/>
      </rPr>
      <t>GW</t>
    </r>
    <r>
      <rPr>
        <sz val="11"/>
        <color indexed="8"/>
        <rFont val="Calibri"/>
      </rPr>
      <t>-Main floor Shower</t>
    </r>
  </si>
  <si>
    <r>
      <rPr>
        <b/>
        <sz val="11"/>
        <color indexed="8"/>
        <rFont val="Calibri"/>
      </rPr>
      <t>ROF</t>
    </r>
    <r>
      <rPr>
        <sz val="11"/>
        <color indexed="8"/>
        <rFont val="Calibri"/>
      </rPr>
      <t>-SE corner road diversion</t>
    </r>
  </si>
  <si>
    <r>
      <rPr>
        <b/>
        <sz val="11"/>
        <color indexed="8"/>
        <rFont val="Calibri"/>
      </rPr>
      <t>ROF</t>
    </r>
    <r>
      <rPr>
        <sz val="11"/>
        <color indexed="8"/>
        <rFont val="Calibri"/>
      </rPr>
      <t>-NE corner road diversion</t>
    </r>
  </si>
  <si>
    <r>
      <rPr>
        <b/>
        <sz val="11"/>
        <color indexed="8"/>
        <rFont val="Calibri"/>
      </rPr>
      <t>CW</t>
    </r>
    <r>
      <rPr>
        <sz val="11"/>
        <color indexed="8"/>
        <rFont val="Calibri"/>
      </rPr>
      <t>-R/O drain water</t>
    </r>
  </si>
  <si>
    <t>Top layer of soil with most roots</t>
  </si>
  <si>
    <t>Volume of top 4 feet of soil</t>
  </si>
  <si>
    <t>Evaporation, summer (higher due water splashing)</t>
  </si>
  <si>
    <t>gal/week</t>
  </si>
  <si>
    <t>RWR- subtotal</t>
  </si>
  <si>
    <t>RW-Road runoff subtotal</t>
  </si>
  <si>
    <t>GW-SUBTOTAL</t>
  </si>
  <si>
    <t>current</t>
  </si>
  <si>
    <t>Prop</t>
  </si>
  <si>
    <t>House-main floor</t>
  </si>
  <si>
    <t>Confirm</t>
  </si>
  <si>
    <t>Post-conservation round 2 GPD/ capita</t>
  </si>
  <si>
    <t>Open pore space percentage</t>
  </si>
  <si>
    <r>
      <rPr>
        <b/>
        <sz val="11"/>
        <color indexed="8"/>
        <rFont val="Calibri"/>
      </rPr>
      <t>GW</t>
    </r>
    <r>
      <rPr>
        <sz val="11"/>
        <color indexed="8"/>
        <rFont val="Calibri"/>
      </rPr>
      <t>-Laundry</t>
    </r>
  </si>
  <si>
    <r>
      <rPr>
        <b/>
        <sz val="11"/>
        <color indexed="8"/>
        <rFont val="Calibri"/>
      </rPr>
      <t>GW</t>
    </r>
    <r>
      <rPr>
        <sz val="11"/>
        <color indexed="8"/>
        <rFont val="Calibri"/>
      </rPr>
      <t>-Kitchen sink</t>
    </r>
  </si>
  <si>
    <r>
      <rPr>
        <b/>
        <sz val="11"/>
        <color indexed="8"/>
        <rFont val="Calibri"/>
      </rPr>
      <t>RWR</t>
    </r>
    <r>
      <rPr>
        <sz val="11"/>
        <color indexed="8"/>
        <rFont val="Calibri"/>
      </rPr>
      <t>-North downspout-Area A</t>
    </r>
  </si>
  <si>
    <r>
      <rPr>
        <b/>
        <sz val="11"/>
        <color indexed="8"/>
        <rFont val="Calibri"/>
      </rPr>
      <t>RWR</t>
    </r>
    <r>
      <rPr>
        <sz val="11"/>
        <color indexed="8"/>
        <rFont val="Calibri"/>
      </rPr>
      <t>-West downspout area B and C</t>
    </r>
  </si>
  <si>
    <r>
      <rPr>
        <b/>
        <sz val="11"/>
        <color indexed="8"/>
        <rFont val="Calibri"/>
      </rPr>
      <t>RWR</t>
    </r>
    <r>
      <rPr>
        <sz val="11"/>
        <color indexed="8"/>
        <rFont val="Calibri"/>
      </rPr>
      <t>-Guest house downspout</t>
    </r>
  </si>
  <si>
    <t>Usable storage in soil</t>
  </si>
  <si>
    <t>Outdoor use of metered water</t>
  </si>
  <si>
    <t>Estimated irrigation need</t>
  </si>
  <si>
    <t>estimate</t>
  </si>
  <si>
    <t>Subtotal pre</t>
  </si>
  <si>
    <t>Subtotal post 2nd round of efficiency</t>
  </si>
  <si>
    <t>0.8 gpf</t>
  </si>
  <si>
    <t>Guess; depends on winter water consumption</t>
  </si>
  <si>
    <t>% reused</t>
  </si>
  <si>
    <t>Efficiency factor</t>
  </si>
  <si>
    <t>Additional efficiency savings</t>
  </si>
  <si>
    <t>Rainwater used indoors</t>
  </si>
  <si>
    <t>Rainwater used outdoors</t>
  </si>
  <si>
    <t>Total Rainwater used</t>
  </si>
  <si>
    <t>Rainwater not used</t>
  </si>
  <si>
    <t>Rainwater available at tanks</t>
  </si>
  <si>
    <t>Water Storage</t>
  </si>
  <si>
    <t>Water Balance-Community</t>
  </si>
  <si>
    <t>Lawn</t>
  </si>
  <si>
    <t>WATER INCOME</t>
  </si>
  <si>
    <t>WATER STORAGE</t>
  </si>
  <si>
    <t>WATER USE</t>
  </si>
  <si>
    <t>EXAMPLE-NOT STARTED FOR THIS PROJECT</t>
  </si>
  <si>
    <t>Rooftop Rainfall gross income</t>
  </si>
  <si>
    <t>Use factor (fill and empty cycles)</t>
  </si>
  <si>
    <t>Shower</t>
  </si>
  <si>
    <t>Laundry</t>
  </si>
  <si>
    <t>Toilet</t>
  </si>
  <si>
    <t>Water features</t>
  </si>
  <si>
    <t>elevation</t>
  </si>
  <si>
    <t>av daily usage</t>
  </si>
  <si>
    <t>Chart source</t>
  </si>
  <si>
    <t>Outdoor rainwater use from tanks</t>
  </si>
  <si>
    <t>item</t>
  </si>
  <si>
    <t>ft line</t>
  </si>
  <si>
    <t>http://www.aqua-calc.com/calculate/volume-to-weight</t>
  </si>
  <si>
    <t>lbs</t>
  </si>
  <si>
    <t>Total weight of mulch</t>
  </si>
  <si>
    <t>Carbon cost of metered water provision</t>
  </si>
  <si>
    <t>Carbon cost of sewege treatment</t>
  </si>
  <si>
    <t>Avoided carbon cost of desal vs infiltrated groundwater</t>
  </si>
  <si>
    <t>Carbon savings from on site food production</t>
  </si>
  <si>
    <t>Solar hot wter</t>
  </si>
  <si>
    <t>Notes</t>
    <phoneticPr fontId="30" type="noConversion"/>
  </si>
  <si>
    <t>Find and add elevation</t>
    <phoneticPr fontId="30" type="noConversion"/>
  </si>
  <si>
    <t>Flow/Capacity-m3, m3/yr</t>
  </si>
  <si>
    <t>Kitchen sink</t>
  </si>
  <si>
    <t>gal/dayperson</t>
  </si>
  <si>
    <t>Drinking and cooking water use</t>
  </si>
  <si>
    <t>Ratio drain water: filtered water</t>
  </si>
  <si>
    <t>Reusable clearwater</t>
  </si>
  <si>
    <t>gal/wk</t>
  </si>
  <si>
    <t>ft3/yr</t>
  </si>
  <si>
    <t>units</t>
    <phoneticPr fontId="30" type="noConversion"/>
  </si>
  <si>
    <t>1"</t>
  </si>
  <si>
    <t>3/4"</t>
  </si>
  <si>
    <t>1/2"</t>
  </si>
  <si>
    <t>Average yearly rainfall</t>
  </si>
  <si>
    <t>in/yr</t>
  </si>
  <si>
    <t>Overhangs</t>
  </si>
  <si>
    <t>Total roof area</t>
  </si>
  <si>
    <t>Rainfall</t>
  </si>
  <si>
    <t>Rainy season length</t>
  </si>
  <si>
    <t>Laundry consumption  (post conservation)</t>
  </si>
  <si>
    <t>Toilet consumption  (post conservation)</t>
  </si>
  <si>
    <t>Consumption eligible for rainwater</t>
  </si>
  <si>
    <t>Duration of water stored in tank</t>
  </si>
  <si>
    <t>Net yeild after losses</t>
  </si>
  <si>
    <t>Run on infiltration capacity</t>
  </si>
  <si>
    <t>Rain/ year</t>
  </si>
  <si>
    <t>Water Commons</t>
  </si>
  <si>
    <t>Metered use as % of groundwater infiltration</t>
  </si>
  <si>
    <t>gpdc</t>
  </si>
  <si>
    <t>hcf/mo</t>
  </si>
  <si>
    <t>Other</t>
  </si>
  <si>
    <t>height</t>
  </si>
  <si>
    <t>Volume</t>
  </si>
  <si>
    <t>on site plan</t>
  </si>
  <si>
    <t>Roof Areas</t>
  </si>
  <si>
    <t>a</t>
  </si>
  <si>
    <t>b</t>
  </si>
  <si>
    <t>c</t>
  </si>
  <si>
    <t>d</t>
  </si>
  <si>
    <t>e</t>
  </si>
  <si>
    <t>f</t>
  </si>
  <si>
    <t>Approx</t>
  </si>
  <si>
    <t>Downspout tributary area</t>
  </si>
  <si>
    <t>L (ft)</t>
  </si>
  <si>
    <t>W (ft)</t>
  </si>
  <si>
    <t>A (ft2)</t>
  </si>
  <si>
    <t>gal/event</t>
  </si>
  <si>
    <t>in/event</t>
  </si>
  <si>
    <t>in/year</t>
  </si>
  <si>
    <t>gal/year</t>
  </si>
  <si>
    <t xml:space="preserve">gpd typical fruit tree use Jul-sept 100ft2 canopy </t>
  </si>
  <si>
    <t>http://cesonoma.ucanr.edu/files/27167.pdf</t>
  </si>
  <si>
    <t>Target % of summer irrigation from GW</t>
  </si>
  <si>
    <t>gpd/ tree</t>
  </si>
  <si>
    <t>basins</t>
  </si>
  <si>
    <t>ft2/ basin</t>
  </si>
  <si>
    <t>ft basin inner diameter</t>
  </si>
  <si>
    <t>ft/ water in basins w/ zero infiltration</t>
  </si>
  <si>
    <t>Laundry GW</t>
  </si>
  <si>
    <r>
      <rPr>
        <b/>
        <sz val="11"/>
        <color indexed="8"/>
        <rFont val="Calibri"/>
      </rPr>
      <t>House</t>
    </r>
    <r>
      <rPr>
        <sz val="11"/>
        <color indexed="8"/>
        <rFont val="Calibri"/>
      </rPr>
      <t>-main floor</t>
    </r>
  </si>
  <si>
    <r>
      <rPr>
        <b/>
        <sz val="11"/>
        <color indexed="8"/>
        <rFont val="Calibri"/>
      </rPr>
      <t>House</t>
    </r>
    <r>
      <rPr>
        <sz val="11"/>
        <color indexed="8"/>
        <rFont val="Calibri"/>
      </rPr>
      <t>-bottom floor</t>
    </r>
  </si>
  <si>
    <t>Net water consumption</t>
  </si>
  <si>
    <t>Water budget overview</t>
  </si>
  <si>
    <t>(provisional based on estimated numbers)</t>
  </si>
  <si>
    <t>Effective storage in tanks</t>
  </si>
  <si>
    <t>Total water storage</t>
  </si>
  <si>
    <t>Water Use</t>
  </si>
  <si>
    <t>TO BE ADDED</t>
  </si>
  <si>
    <t>Gal/Year</t>
  </si>
  <si>
    <r>
      <rPr>
        <b/>
        <sz val="10"/>
        <color indexed="39"/>
        <rFont val="Verdana"/>
      </rPr>
      <t>Blue numbers</t>
    </r>
    <r>
      <rPr>
        <sz val="10"/>
        <rFont val="Verdana"/>
      </rPr>
      <t xml:space="preserve"> are inputs, rest are calculated</t>
    </r>
  </si>
  <si>
    <t>Instructions</t>
  </si>
  <si>
    <t xml:space="preserve">• Calcuate rainwater income, rooftop rainwater catchment, runoff, run-on, storage in the soil sponge, deep percolation, indoor water efficiency, </t>
  </si>
  <si>
    <t>• For landscape architects, landscapers, rainwater and greywater installers, water conservation specialists and homeowners.</t>
  </si>
  <si>
    <t>•  Mainly focused on detatched single family residences with yards but adaptable to other purposes…</t>
  </si>
  <si>
    <t xml:space="preserve">1) To get started, fill in the main variables (first section, green highlight). </t>
  </si>
  <si>
    <t>The numbers already in the "main variables" section are typical values for the city of Santa Barbara in 2015.</t>
  </si>
  <si>
    <t>It's better to have an estimate that can be adjustedover time than to leave numbers out because precise values are not available.</t>
  </si>
  <si>
    <t xml:space="preserve">Domestic Water Conservation Catchment and Reuse Calculator </t>
  </si>
  <si>
    <t>V 1.0 DRAFT © 2015 Art Ludwig oasis@oasisdesign.net. Developed with support from City of Santa Barbara Water Conservation Department.  PARTIAL-NOT COMPLETE OR VETTED.</t>
  </si>
  <si>
    <t xml:space="preserve">3) You can review the details of the calculation of these numbers in the sections further down on this sheet, changing the input values as you like. </t>
  </si>
  <si>
    <t>4) You can check out the charts on the other tabs (these are less developed DRAFTS and may not reflect your project's numbers)</t>
  </si>
  <si>
    <t>For finding indoor vs outdoor consumption (will also show large leaks)</t>
  </si>
  <si>
    <t>Annual consumption</t>
  </si>
  <si>
    <t>est.</t>
  </si>
  <si>
    <t xml:space="preserve">Indoor </t>
  </si>
  <si>
    <t>Monthly</t>
  </si>
  <si>
    <t>Input blue numbers for monthly meter readings (HCF)</t>
  </si>
  <si>
    <t>https://utilitiesonline.santabarbaraca.gov/</t>
  </si>
  <si>
    <t>SAMPLE data from an actual SB city house…input your values in the "h2o bill YOURS" tab in place of blue numbers. You can find the data at</t>
  </si>
  <si>
    <t>Look at your graph and visually estimate what the consumption is for months when there is no irrigation…note that in drought years there may be irrigation even in Jan, Feb.</t>
  </si>
  <si>
    <t>Take into account months when you were gone on vacation. Move the red line to that level; that's a good estimate of your indoor use.</t>
  </si>
  <si>
    <t>Input your values in the in place of the blue numbers. You can find the data at</t>
  </si>
  <si>
    <t>Except for the estimated indoor use, which you can estimate from the 1st, graph as described below.</t>
  </si>
  <si>
    <t>Average US house = 2.5 people</t>
  </si>
  <si>
    <t>5) To get the best measurement of indoor vs outdoor use, put a submeter on your irrigation controller.</t>
  </si>
  <si>
    <t xml:space="preserve"> To get an approximate measure, see "h2o bill-SAMPLE then fill in "h2o bill-YOURS"</t>
  </si>
  <si>
    <t>Greywater System Details</t>
  </si>
  <si>
    <t>lbs/yr change</t>
  </si>
  <si>
    <t>Before (lbs/yr)</t>
  </si>
  <si>
    <t>After (lbs/yr)</t>
  </si>
  <si>
    <t>After (gpy)</t>
  </si>
  <si>
    <t>Before (gpy)</t>
  </si>
  <si>
    <t>Water related carbon emissions</t>
  </si>
  <si>
    <t>Estimated % of infiltration which is transpired by plants before it gets below plant roots and goes to groundwater</t>
  </si>
  <si>
    <t>% to Runoff</t>
  </si>
  <si>
    <t>% to Evaporation</t>
  </si>
  <si>
    <t>% to Transpiration</t>
  </si>
  <si>
    <t>Typical starting runoff %/ Lowest runoff % with best practices; mulch, basins, swales… (note: check landslide hazard before increasing infiltration; steep and clay are hazard indicators)</t>
  </si>
  <si>
    <t>Typical evaporation/ lowest evaporation with best practices (mulch)</t>
  </si>
  <si>
    <t>Amount of water utilized by plants</t>
  </si>
  <si>
    <t>% to Groundwater Recharge</t>
  </si>
  <si>
    <t>Typical deep infiltration to groundwater %/ best practices % (lower runoff, ET)</t>
  </si>
  <si>
    <t>Evaporation (bad)</t>
  </si>
  <si>
    <t>Runoff (bad)</t>
  </si>
  <si>
    <t>Use by plants (good)</t>
  </si>
  <si>
    <t>Groundwater recharge (good)</t>
  </si>
  <si>
    <t>http://cosb.countyofsb.org/pwd/pwwater.aspx?id=3788</t>
  </si>
  <si>
    <t>http://cosb.countyofsb.org/uploadedimages/pwd/Water/Average%20Rainfall%20-%202011.jpg</t>
  </si>
  <si>
    <t>http://cosb.countyofsb.org/uploadedFiles/pwd/Water/Hydrology/Historical%20Driest%20Years.pdf</t>
  </si>
  <si>
    <t>http://sbcassessor.com/assessor/details.aspx?apn=027251003</t>
  </si>
  <si>
    <t>See h2o bill-SAMPLE, …input your values in the "h2o bill YOURS" tab</t>
  </si>
  <si>
    <t>Input measurements from your yard</t>
  </si>
  <si>
    <t>Measure on the ground or with lines in Google Earth</t>
  </si>
  <si>
    <t>http://oasisdesign.net/greywater/createanoasis/NCOhowToMeasurePerk.pdf</t>
  </si>
  <si>
    <t>Known errors/ ommissions:</t>
  </si>
  <si>
    <t>• It is not easy to use!</t>
  </si>
  <si>
    <t>• Please send your suggested improvements to oasis@oasisdesign.net</t>
  </si>
  <si>
    <t xml:space="preserve">• Soil sponge calc should not include area under buildings </t>
  </si>
  <si>
    <t>• Overhang area for roof catchment calc is still being optimized</t>
  </si>
  <si>
    <t>Metered water use</t>
  </si>
  <si>
    <t>Indoor usage (metered or estimate)</t>
  </si>
  <si>
    <t>Move?</t>
  </si>
  <si>
    <t>Effective water income</t>
  </si>
  <si>
    <t>Run-on utilized by plants</t>
  </si>
  <si>
    <t>Effective greywater reuse</t>
  </si>
  <si>
    <t>Total effective water income</t>
  </si>
  <si>
    <r>
      <t xml:space="preserve">Outdoor </t>
    </r>
    <r>
      <rPr>
        <b/>
        <sz val="10"/>
        <rFont val="Verdana"/>
      </rPr>
      <t xml:space="preserve">metered </t>
    </r>
    <r>
      <rPr>
        <b/>
        <sz val="10"/>
        <rFont val="Verdana"/>
      </rPr>
      <t>water use</t>
    </r>
  </si>
  <si>
    <r>
      <t>Indoor</t>
    </r>
    <r>
      <rPr>
        <b/>
        <sz val="10"/>
        <rFont val="Verdana"/>
      </rPr>
      <t xml:space="preserve"> metered</t>
    </r>
    <r>
      <rPr>
        <b/>
        <sz val="10"/>
        <rFont val="Verdana"/>
      </rPr>
      <t xml:space="preserve"> water use</t>
    </r>
  </si>
  <si>
    <t>Rainfall from sky utilized by plants</t>
  </si>
  <si>
    <t>before</t>
  </si>
  <si>
    <t>after</t>
  </si>
  <si>
    <t>Units</t>
  </si>
  <si>
    <t>Details…</t>
  </si>
  <si>
    <t>Value entered from main variables</t>
  </si>
  <si>
    <t>Average metered water usage</t>
  </si>
  <si>
    <t>WORK NOTES</t>
  </si>
  <si>
    <t>add calcs</t>
  </si>
  <si>
    <t>after needs doing</t>
  </si>
  <si>
    <t>Add after numbers from calculations?</t>
  </si>
  <si>
    <t>Area of roofs</t>
  </si>
  <si>
    <t>Area of hardscape</t>
  </si>
  <si>
    <t xml:space="preserve">Area of lot </t>
  </si>
  <si>
    <t>Acre to ft2 calculator</t>
  </si>
  <si>
    <t>acres</t>
  </si>
  <si>
    <t>Eave calculator</t>
  </si>
  <si>
    <t>Area of roof</t>
  </si>
  <si>
    <t>Area of hardscape to infiltration</t>
  </si>
  <si>
    <t>Area of roof to infiltration</t>
  </si>
  <si>
    <t>Run-on catchment area to infiltration</t>
  </si>
  <si>
    <t>x</t>
  </si>
  <si>
    <t>Change</t>
  </si>
  <si>
    <r>
      <t>Main variables</t>
    </r>
    <r>
      <rPr>
        <b/>
        <sz val="10"/>
        <rFont val="Verdana"/>
      </rPr>
      <t xml:space="preserve"> for you to input</t>
    </r>
  </si>
  <si>
    <t>Area developed for infiltration</t>
  </si>
  <si>
    <t>Area of lot remaining, presumed to be possible for infiltration (permeable, wild or landscaped)</t>
  </si>
  <si>
    <t>% of lot developed for infiltration</t>
  </si>
  <si>
    <t>% size of infiltration relative to run on catchment</t>
  </si>
  <si>
    <t>Catchment area summary</t>
  </si>
  <si>
    <t>Peak event yeild</t>
  </si>
  <si>
    <t>gph</t>
  </si>
  <si>
    <t>Add roof area calculator</t>
  </si>
  <si>
    <t>% lost to evaporation and leaks</t>
  </si>
  <si>
    <t>Average yearly yeild</t>
  </si>
  <si>
    <t>Drought year  yeild</t>
  </si>
  <si>
    <t>Rooftop rainwater to plants and infiltration</t>
  </si>
  <si>
    <t>Hardscape rainwater to plants and infiltration</t>
  </si>
  <si>
    <t>Landscape rainwater to plants and infiltration</t>
  </si>
  <si>
    <t>Area of landscape</t>
  </si>
  <si>
    <t>Rooftop rainwater to indoor use</t>
  </si>
  <si>
    <t>Subrtract from outdoor</t>
  </si>
  <si>
    <t>Peak event max yield</t>
  </si>
  <si>
    <t>Max % to Runoff</t>
  </si>
  <si>
    <t>Average % to Runoff</t>
  </si>
  <si>
    <t>Average yearly catchment available</t>
  </si>
  <si>
    <t>Drought year catchment available</t>
  </si>
  <si>
    <t>Watershed run-on catchment available</t>
  </si>
  <si>
    <t>Watershed run-on catchment infiltratable</t>
  </si>
  <si>
    <t>Area for run-on infiltration</t>
  </si>
  <si>
    <t>Depth average depth below spill point</t>
  </si>
  <si>
    <t>Run on surge volume</t>
  </si>
  <si>
    <t>Reduction factor from peak to continuous infiltration</t>
  </si>
  <si>
    <t>Lot runoff</t>
  </si>
  <si>
    <t>Run on catchment runoff</t>
  </si>
  <si>
    <t>add</t>
  </si>
  <si>
    <t>Conserving</t>
  </si>
  <si>
    <t>Non-conserving</t>
  </si>
  <si>
    <t>Gross rainfall income for lot</t>
  </si>
  <si>
    <t>Gross rooftop rainwater income</t>
  </si>
  <si>
    <t>Catchment voume and utilization summary</t>
  </si>
  <si>
    <t>Rooftop rainwater to groundwater</t>
  </si>
  <si>
    <t>Hardscape rainwater used by plants</t>
  </si>
  <si>
    <t xml:space="preserve">Hardscape rainwater to groundwater </t>
  </si>
  <si>
    <t>Rainwater on landscape used by plants</t>
  </si>
  <si>
    <t>Rainwater on landscape to recharge</t>
  </si>
  <si>
    <t>Gross run-on available</t>
  </si>
  <si>
    <t>Run-on used by plants</t>
  </si>
  <si>
    <t>Run-on to groundwater</t>
  </si>
  <si>
    <t>Total rainwater to plants</t>
  </si>
  <si>
    <t>Total rainwater to groundwater</t>
  </si>
  <si>
    <t>Rooftop rainwater to tanks to irrigation</t>
  </si>
  <si>
    <t>Rooftop rainwater to soil to plants</t>
  </si>
  <si>
    <t>Lawn calculator</t>
  </si>
  <si>
    <t>outdoor efficiency, irrigation settings, plant water use, indoor rainwater use, and greywater reuse.</t>
  </si>
  <si>
    <t xml:space="preserve">2) Review the summary (second section below, tan highlight). It will now be populated with values for your project, </t>
  </si>
  <si>
    <t>using a combination of your inputs to the main variables and typical values.</t>
  </si>
  <si>
    <t>• Run-on inputs need to update summary (they do not currently)</t>
  </si>
  <si>
    <t xml:space="preserve">• This is a DRAFT/ DEMO Not all formulas and graphs are working, not checked for errors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</si>
</sst>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71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12"/>
      <name val="Verdana"/>
    </font>
    <font>
      <b/>
      <sz val="12"/>
      <name val="Verdan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39"/>
      <name val="Verdana"/>
    </font>
    <font>
      <b/>
      <i/>
      <sz val="10"/>
      <color indexed="39"/>
      <name val="Verdana"/>
    </font>
    <font>
      <sz val="11"/>
      <color indexed="8"/>
      <name val="Calibri"/>
    </font>
    <font>
      <sz val="8"/>
      <name val="Verdana"/>
    </font>
    <font>
      <u/>
      <sz val="11"/>
      <color indexed="8"/>
      <name val="Calibri"/>
      <family val="2"/>
    </font>
    <font>
      <b/>
      <sz val="11"/>
      <color indexed="8"/>
      <name val="Calibri"/>
    </font>
    <font>
      <i/>
      <sz val="10"/>
      <name val="Verdana"/>
    </font>
    <font>
      <b/>
      <sz val="11"/>
      <color indexed="8"/>
      <name val="Calibri"/>
    </font>
    <font>
      <b/>
      <sz val="14"/>
      <color indexed="8"/>
      <name val="Calibri"/>
    </font>
    <font>
      <b/>
      <i/>
      <sz val="10"/>
      <color indexed="12"/>
      <name val="Verdana"/>
    </font>
    <font>
      <b/>
      <sz val="10"/>
      <color indexed="12"/>
      <name val="Verdana"/>
    </font>
    <font>
      <b/>
      <sz val="10"/>
      <color indexed="48"/>
      <name val="Verdana"/>
    </font>
    <font>
      <b/>
      <i/>
      <sz val="10"/>
      <name val="Verdana"/>
    </font>
    <font>
      <b/>
      <sz val="14"/>
      <name val="Verdana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6"/>
      <color indexed="8"/>
      <name val="Verdana"/>
    </font>
    <font>
      <b/>
      <sz val="12"/>
      <color indexed="8"/>
      <name val="Times Roman"/>
    </font>
    <font>
      <sz val="12"/>
      <color indexed="8"/>
      <name val="Verdana"/>
    </font>
    <font>
      <sz val="12"/>
      <color indexed="8"/>
      <name val="Times Roman"/>
    </font>
    <font>
      <sz val="12"/>
      <color indexed="8"/>
      <name val="Helvetica"/>
    </font>
    <font>
      <b/>
      <sz val="10"/>
      <color indexed="12"/>
      <name val="Verdana"/>
    </font>
    <font>
      <b/>
      <sz val="10"/>
      <color indexed="8"/>
      <name val="Verdana"/>
    </font>
    <font>
      <sz val="9"/>
      <name val="Verdana"/>
    </font>
    <font>
      <i/>
      <sz val="9"/>
      <name val="Verdana"/>
    </font>
    <font>
      <b/>
      <sz val="9"/>
      <name val="Verdana"/>
    </font>
    <font>
      <sz val="6"/>
      <name val="Verdana"/>
    </font>
    <font>
      <i/>
      <sz val="12"/>
      <color indexed="8"/>
      <name val="Times Roman"/>
    </font>
    <font>
      <i/>
      <sz val="12"/>
      <color indexed="8"/>
      <name val="Verdana"/>
    </font>
    <font>
      <i/>
      <sz val="12"/>
      <name val="Verdana"/>
    </font>
    <font>
      <i/>
      <sz val="12"/>
      <color indexed="8"/>
      <name val="Helvetica"/>
    </font>
    <font>
      <i/>
      <sz val="10"/>
      <color indexed="8"/>
      <name val="Times Roman"/>
    </font>
    <font>
      <u/>
      <sz val="10"/>
      <color theme="10"/>
      <name val="Verdana"/>
    </font>
    <font>
      <sz val="10"/>
      <color theme="0" tint="-0.34998626667073579"/>
      <name val="Verdana"/>
    </font>
    <font>
      <b/>
      <sz val="12"/>
      <color theme="1"/>
      <name val="Calibri"/>
      <family val="2"/>
      <scheme val="minor"/>
    </font>
    <font>
      <b/>
      <sz val="12"/>
      <color rgb="FF000090"/>
      <name val="Times Roman"/>
    </font>
    <font>
      <b/>
      <sz val="14"/>
      <color rgb="FF0000FF"/>
      <name val="Times Roman"/>
    </font>
    <font>
      <sz val="12"/>
      <color theme="0" tint="-0.499984740745262"/>
      <name val="Verdana"/>
    </font>
    <font>
      <b/>
      <sz val="12"/>
      <color rgb="FF000090"/>
      <name val="Verdana"/>
    </font>
    <font>
      <sz val="12"/>
      <color theme="1"/>
      <name val="Times Roman"/>
    </font>
    <font>
      <u/>
      <sz val="10"/>
      <color theme="11"/>
      <name val="Verdana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F68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tted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rgb="FF000000"/>
      </right>
      <top style="double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5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2" borderId="1" applyNumberFormat="0" applyAlignment="0" applyProtection="0"/>
    <xf numFmtId="0" fontId="21" fillId="15" borderId="2" applyNumberFormat="0" applyAlignment="0" applyProtection="0"/>
    <xf numFmtId="0" fontId="2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7" fillId="4" borderId="7" applyNumberFormat="0" applyFont="0" applyAlignment="0" applyProtection="0"/>
    <xf numFmtId="0" fontId="18" fillId="2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487">
    <xf numFmtId="0" fontId="0" fillId="0" borderId="0" xfId="0"/>
    <xf numFmtId="3" fontId="8" fillId="0" borderId="0" xfId="0" applyNumberFormat="1" applyFont="1"/>
    <xf numFmtId="3" fontId="0" fillId="0" borderId="0" xfId="0" applyNumberFormat="1"/>
    <xf numFmtId="0" fontId="6" fillId="0" borderId="0" xfId="0" applyFont="1"/>
    <xf numFmtId="3" fontId="9" fillId="0" borderId="0" xfId="0" applyNumberFormat="1" applyFont="1"/>
    <xf numFmtId="1" fontId="0" fillId="0" borderId="0" xfId="0" applyNumberFormat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/>
    <xf numFmtId="0" fontId="0" fillId="0" borderId="0" xfId="0" applyFill="1" applyBorder="1"/>
    <xf numFmtId="3" fontId="0" fillId="0" borderId="0" xfId="0" applyNumberFormat="1" applyBorder="1"/>
    <xf numFmtId="3" fontId="0" fillId="0" borderId="10" xfId="0" applyNumberFormat="1" applyFont="1" applyBorder="1"/>
    <xf numFmtId="0" fontId="0" fillId="0" borderId="10" xfId="0" applyBorder="1"/>
    <xf numFmtId="4" fontId="28" fillId="0" borderId="11" xfId="0" applyNumberFormat="1" applyFont="1" applyBorder="1"/>
    <xf numFmtId="3" fontId="27" fillId="0" borderId="11" xfId="0" applyNumberFormat="1" applyFont="1" applyBorder="1"/>
    <xf numFmtId="3" fontId="0" fillId="0" borderId="12" xfId="0" applyNumberFormat="1" applyFont="1" applyBorder="1"/>
    <xf numFmtId="3" fontId="6" fillId="0" borderId="12" xfId="0" applyNumberFormat="1" applyFont="1" applyBorder="1"/>
    <xf numFmtId="3" fontId="0" fillId="0" borderId="13" xfId="0" applyNumberFormat="1" applyBorder="1"/>
    <xf numFmtId="0" fontId="0" fillId="0" borderId="12" xfId="0" applyFont="1" applyBorder="1"/>
    <xf numFmtId="0" fontId="0" fillId="0" borderId="12" xfId="0" applyBorder="1"/>
    <xf numFmtId="9" fontId="0" fillId="0" borderId="14" xfId="0" applyNumberFormat="1" applyBorder="1"/>
    <xf numFmtId="9" fontId="0" fillId="0" borderId="14" xfId="0" applyNumberFormat="1" applyFont="1" applyBorder="1"/>
    <xf numFmtId="1" fontId="6" fillId="0" borderId="0" xfId="0" applyNumberFormat="1" applyFont="1"/>
    <xf numFmtId="3" fontId="0" fillId="0" borderId="0" xfId="0" applyNumberFormat="1" applyFont="1" applyFill="1" applyBorder="1"/>
    <xf numFmtId="3" fontId="6" fillId="0" borderId="11" xfId="0" applyNumberFormat="1" applyFont="1" applyBorder="1"/>
    <xf numFmtId="0" fontId="31" fillId="0" borderId="0" xfId="0" applyFont="1"/>
    <xf numFmtId="0" fontId="29" fillId="0" borderId="0" xfId="0" applyFont="1"/>
    <xf numFmtId="3" fontId="6" fillId="0" borderId="0" xfId="0" applyNumberFormat="1" applyFont="1"/>
    <xf numFmtId="0" fontId="0" fillId="0" borderId="0" xfId="0" applyFont="1" applyFill="1" applyBorder="1"/>
    <xf numFmtId="0" fontId="0" fillId="0" borderId="0" xfId="0" applyFill="1"/>
    <xf numFmtId="0" fontId="34" fillId="0" borderId="0" xfId="0" applyFont="1"/>
    <xf numFmtId="1" fontId="0" fillId="0" borderId="0" xfId="0" applyNumberFormat="1" applyFill="1"/>
    <xf numFmtId="1" fontId="33" fillId="0" borderId="0" xfId="0" applyNumberFormat="1" applyFont="1" applyFill="1"/>
    <xf numFmtId="1" fontId="33" fillId="0" borderId="0" xfId="0" applyNumberFormat="1" applyFont="1"/>
    <xf numFmtId="0" fontId="6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3" fontId="0" fillId="0" borderId="11" xfId="0" applyNumberFormat="1" applyFont="1" applyBorder="1"/>
    <xf numFmtId="3" fontId="0" fillId="0" borderId="10" xfId="0" applyNumberFormat="1" applyBorder="1"/>
    <xf numFmtId="9" fontId="0" fillId="0" borderId="10" xfId="0" applyNumberFormat="1" applyBorder="1"/>
    <xf numFmtId="9" fontId="0" fillId="0" borderId="0" xfId="0" applyNumberFormat="1" applyBorder="1"/>
    <xf numFmtId="9" fontId="0" fillId="0" borderId="12" xfId="0" applyNumberFormat="1" applyBorder="1"/>
    <xf numFmtId="9" fontId="0" fillId="0" borderId="0" xfId="0" applyNumberFormat="1" applyFont="1" applyBorder="1"/>
    <xf numFmtId="9" fontId="6" fillId="0" borderId="0" xfId="0" applyNumberFormat="1" applyFont="1" applyBorder="1"/>
    <xf numFmtId="9" fontId="38" fillId="0" borderId="0" xfId="0" applyNumberFormat="1" applyFont="1" applyBorder="1"/>
    <xf numFmtId="164" fontId="0" fillId="0" borderId="0" xfId="0" applyNumberFormat="1" applyFont="1" applyBorder="1"/>
    <xf numFmtId="0" fontId="0" fillId="0" borderId="15" xfId="0" applyBorder="1"/>
    <xf numFmtId="3" fontId="0" fillId="0" borderId="0" xfId="0" applyNumberFormat="1" applyFill="1" applyBorder="1"/>
    <xf numFmtId="0" fontId="0" fillId="17" borderId="0" xfId="0" applyFill="1"/>
    <xf numFmtId="3" fontId="0" fillId="18" borderId="0" xfId="0" applyNumberFormat="1" applyFill="1"/>
    <xf numFmtId="3" fontId="39" fillId="0" borderId="16" xfId="0" applyNumberFormat="1" applyFont="1" applyBorder="1"/>
    <xf numFmtId="0" fontId="6" fillId="0" borderId="0" xfId="0" applyFont="1" applyFill="1" applyBorder="1"/>
    <xf numFmtId="9" fontId="0" fillId="0" borderId="0" xfId="0" applyNumberFormat="1" applyFill="1" applyBorder="1"/>
    <xf numFmtId="3" fontId="27" fillId="0" borderId="11" xfId="0" applyNumberFormat="1" applyFont="1" applyFill="1" applyBorder="1"/>
    <xf numFmtId="0" fontId="40" fillId="0" borderId="0" xfId="0" applyFont="1"/>
    <xf numFmtId="0" fontId="33" fillId="0" borderId="0" xfId="0" applyFont="1"/>
    <xf numFmtId="0" fontId="0" fillId="0" borderId="17" xfId="0" applyBorder="1"/>
    <xf numFmtId="3" fontId="0" fillId="0" borderId="0" xfId="0" applyNumberFormat="1" applyFont="1" applyBorder="1" applyAlignment="1">
      <alignment horizontal="center"/>
    </xf>
    <xf numFmtId="0" fontId="9" fillId="0" borderId="0" xfId="0" applyFont="1"/>
    <xf numFmtId="0" fontId="5" fillId="0" borderId="16" xfId="0" applyFont="1" applyBorder="1"/>
    <xf numFmtId="0" fontId="0" fillId="0" borderId="18" xfId="0" applyBorder="1"/>
    <xf numFmtId="0" fontId="0" fillId="0" borderId="11" xfId="0" applyBorder="1"/>
    <xf numFmtId="0" fontId="0" fillId="0" borderId="13" xfId="0" applyBorder="1"/>
    <xf numFmtId="0" fontId="0" fillId="0" borderId="19" xfId="0" applyBorder="1"/>
    <xf numFmtId="2" fontId="0" fillId="0" borderId="11" xfId="0" applyNumberFormat="1" applyBorder="1"/>
    <xf numFmtId="1" fontId="0" fillId="0" borderId="13" xfId="0" applyNumberFormat="1" applyBorder="1"/>
    <xf numFmtId="0" fontId="0" fillId="0" borderId="12" xfId="0" applyFont="1" applyFill="1" applyBorder="1"/>
    <xf numFmtId="1" fontId="0" fillId="0" borderId="11" xfId="0" applyNumberFormat="1" applyBorder="1"/>
    <xf numFmtId="9" fontId="27" fillId="0" borderId="11" xfId="0" applyNumberFormat="1" applyFont="1" applyBorder="1"/>
    <xf numFmtId="1" fontId="0" fillId="0" borderId="16" xfId="0" applyNumberFormat="1" applyBorder="1"/>
    <xf numFmtId="2" fontId="0" fillId="0" borderId="13" xfId="0" applyNumberFormat="1" applyBorder="1"/>
    <xf numFmtId="0" fontId="0" fillId="0" borderId="16" xfId="0" applyBorder="1"/>
    <xf numFmtId="0" fontId="33" fillId="0" borderId="10" xfId="0" applyFont="1" applyBorder="1"/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" fillId="0" borderId="11" xfId="0" applyFont="1" applyBorder="1"/>
    <xf numFmtId="3" fontId="39" fillId="0" borderId="0" xfId="0" applyNumberFormat="1" applyFont="1" applyBorder="1"/>
    <xf numFmtId="0" fontId="33" fillId="0" borderId="0" xfId="0" applyFont="1" applyBorder="1"/>
    <xf numFmtId="0" fontId="6" fillId="0" borderId="13" xfId="0" applyFont="1" applyBorder="1"/>
    <xf numFmtId="0" fontId="33" fillId="0" borderId="12" xfId="0" applyFont="1" applyBorder="1"/>
    <xf numFmtId="0" fontId="6" fillId="0" borderId="16" xfId="0" applyFont="1" applyBorder="1"/>
    <xf numFmtId="0" fontId="5" fillId="0" borderId="11" xfId="0" applyFont="1" applyBorder="1"/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19" borderId="20" xfId="0" applyFill="1" applyBorder="1"/>
    <xf numFmtId="3" fontId="0" fillId="19" borderId="21" xfId="0" applyNumberFormat="1" applyFill="1" applyBorder="1"/>
    <xf numFmtId="3" fontId="33" fillId="19" borderId="22" xfId="0" applyNumberFormat="1" applyFont="1" applyFill="1" applyBorder="1"/>
    <xf numFmtId="0" fontId="0" fillId="19" borderId="11" xfId="0" applyFill="1" applyBorder="1"/>
    <xf numFmtId="3" fontId="0" fillId="19" borderId="0" xfId="0" applyNumberFormat="1" applyFill="1" applyBorder="1"/>
    <xf numFmtId="3" fontId="33" fillId="19" borderId="23" xfId="0" applyNumberFormat="1" applyFont="1" applyFill="1" applyBorder="1"/>
    <xf numFmtId="0" fontId="6" fillId="19" borderId="11" xfId="0" applyFont="1" applyFill="1" applyBorder="1"/>
    <xf numFmtId="3" fontId="6" fillId="19" borderId="0" xfId="0" applyNumberFormat="1" applyFont="1" applyFill="1" applyBorder="1"/>
    <xf numFmtId="3" fontId="39" fillId="19" borderId="23" xfId="0" applyNumberFormat="1" applyFont="1" applyFill="1" applyBorder="1"/>
    <xf numFmtId="0" fontId="0" fillId="19" borderId="24" xfId="0" applyFill="1" applyBorder="1"/>
    <xf numFmtId="3" fontId="0" fillId="19" borderId="25" xfId="0" applyNumberFormat="1" applyFill="1" applyBorder="1"/>
    <xf numFmtId="3" fontId="33" fillId="19" borderId="26" xfId="0" applyNumberFormat="1" applyFont="1" applyFill="1" applyBorder="1"/>
    <xf numFmtId="0" fontId="33" fillId="19" borderId="22" xfId="0" applyFont="1" applyFill="1" applyBorder="1"/>
    <xf numFmtId="0" fontId="33" fillId="19" borderId="23" xfId="0" applyFont="1" applyFill="1" applyBorder="1"/>
    <xf numFmtId="0" fontId="33" fillId="19" borderId="26" xfId="0" applyFont="1" applyFill="1" applyBorder="1"/>
    <xf numFmtId="3" fontId="6" fillId="19" borderId="25" xfId="0" applyNumberFormat="1" applyFont="1" applyFill="1" applyBorder="1"/>
    <xf numFmtId="3" fontId="39" fillId="19" borderId="26" xfId="0" applyNumberFormat="1" applyFont="1" applyFill="1" applyBorder="1"/>
    <xf numFmtId="3" fontId="0" fillId="20" borderId="21" xfId="0" applyNumberFormat="1" applyFill="1" applyBorder="1"/>
    <xf numFmtId="0" fontId="33" fillId="20" borderId="22" xfId="0" applyFont="1" applyFill="1" applyBorder="1"/>
    <xf numFmtId="3" fontId="5" fillId="20" borderId="25" xfId="0" applyNumberFormat="1" applyFont="1" applyFill="1" applyBorder="1"/>
    <xf numFmtId="0" fontId="33" fillId="20" borderId="26" xfId="0" applyFont="1" applyFill="1" applyBorder="1"/>
    <xf numFmtId="0" fontId="6" fillId="19" borderId="24" xfId="0" applyFont="1" applyFill="1" applyBorder="1"/>
    <xf numFmtId="3" fontId="0" fillId="20" borderId="20" xfId="0" applyNumberFormat="1" applyFill="1" applyBorder="1"/>
    <xf numFmtId="0" fontId="5" fillId="20" borderId="24" xfId="0" applyFont="1" applyFill="1" applyBorder="1"/>
    <xf numFmtId="9" fontId="6" fillId="0" borderId="27" xfId="0" applyNumberFormat="1" applyFont="1" applyBorder="1"/>
    <xf numFmtId="9" fontId="0" fillId="0" borderId="27" xfId="0" applyNumberFormat="1" applyBorder="1"/>
    <xf numFmtId="9" fontId="0" fillId="0" borderId="28" xfId="0" applyNumberFormat="1" applyBorder="1"/>
    <xf numFmtId="0" fontId="0" fillId="0" borderId="27" xfId="0" applyBorder="1"/>
    <xf numFmtId="3" fontId="0" fillId="0" borderId="11" xfId="0" applyNumberFormat="1" applyFont="1" applyBorder="1" applyAlignment="1">
      <alignment horizontal="center"/>
    </xf>
    <xf numFmtId="3" fontId="0" fillId="0" borderId="27" xfId="0" applyNumberFormat="1" applyFont="1" applyBorder="1"/>
    <xf numFmtId="0" fontId="6" fillId="0" borderId="27" xfId="0" applyFont="1" applyBorder="1"/>
    <xf numFmtId="0" fontId="0" fillId="0" borderId="0" xfId="0" applyFont="1"/>
    <xf numFmtId="0" fontId="0" fillId="0" borderId="11" xfId="0" applyFont="1" applyBorder="1"/>
    <xf numFmtId="3" fontId="33" fillId="0" borderId="0" xfId="0" applyNumberFormat="1" applyFont="1"/>
    <xf numFmtId="3" fontId="0" fillId="0" borderId="0" xfId="0" applyNumberFormat="1" applyFont="1" applyFill="1"/>
    <xf numFmtId="165" fontId="0" fillId="0" borderId="11" xfId="0" applyNumberFormat="1" applyFont="1" applyBorder="1"/>
    <xf numFmtId="0" fontId="41" fillId="0" borderId="0" xfId="0" applyFont="1" applyAlignment="1">
      <alignment textRotation="45"/>
    </xf>
    <xf numFmtId="0" fontId="42" fillId="0" borderId="17" xfId="0" applyFont="1" applyBorder="1" applyAlignment="1">
      <alignment textRotation="45"/>
    </xf>
    <xf numFmtId="0" fontId="42" fillId="0" borderId="0" xfId="0" applyFont="1"/>
    <xf numFmtId="0" fontId="43" fillId="0" borderId="0" xfId="0" applyNumberFormat="1" applyFont="1" applyFill="1" applyBorder="1" applyAlignment="1" applyProtection="1"/>
    <xf numFmtId="0" fontId="0" fillId="17" borderId="17" xfId="0" applyFill="1" applyBorder="1"/>
    <xf numFmtId="0" fontId="64" fillId="17" borderId="17" xfId="0" applyFont="1" applyFill="1" applyBorder="1"/>
    <xf numFmtId="2" fontId="44" fillId="0" borderId="17" xfId="0" applyNumberFormat="1" applyFont="1" applyFill="1" applyBorder="1"/>
    <xf numFmtId="0" fontId="7" fillId="0" borderId="0" xfId="0" applyFont="1" applyFill="1" applyBorder="1"/>
    <xf numFmtId="0" fontId="42" fillId="0" borderId="0" xfId="0" applyFont="1" applyFill="1" applyBorder="1"/>
    <xf numFmtId="2" fontId="45" fillId="0" borderId="17" xfId="0" applyNumberFormat="1" applyFont="1" applyFill="1" applyBorder="1"/>
    <xf numFmtId="2" fontId="44" fillId="0" borderId="17" xfId="0" applyNumberFormat="1" applyFont="1" applyBorder="1"/>
    <xf numFmtId="2" fontId="44" fillId="21" borderId="17" xfId="0" applyNumberFormat="1" applyFont="1" applyFill="1" applyBorder="1"/>
    <xf numFmtId="0" fontId="46" fillId="0" borderId="0" xfId="0" applyFont="1" applyBorder="1" applyAlignment="1">
      <alignment horizontal="left" vertical="top"/>
    </xf>
    <xf numFmtId="0" fontId="48" fillId="0" borderId="0" xfId="0" applyFont="1" applyFill="1" applyBorder="1" applyAlignment="1">
      <alignment vertical="top"/>
    </xf>
    <xf numFmtId="0" fontId="4" fillId="0" borderId="0" xfId="0" applyFont="1" applyBorder="1"/>
    <xf numFmtId="3" fontId="6" fillId="0" borderId="0" xfId="0" applyNumberFormat="1" applyFont="1" applyFill="1" applyBorder="1"/>
    <xf numFmtId="0" fontId="5" fillId="0" borderId="0" xfId="0" applyFont="1" applyFill="1" applyBorder="1"/>
    <xf numFmtId="9" fontId="0" fillId="0" borderId="0" xfId="0" applyNumberFormat="1" applyFont="1" applyFill="1" applyBorder="1"/>
    <xf numFmtId="0" fontId="4" fillId="0" borderId="0" xfId="0" applyFont="1" applyFill="1" applyBorder="1"/>
    <xf numFmtId="2" fontId="0" fillId="17" borderId="17" xfId="0" applyNumberFormat="1" applyFill="1" applyBorder="1"/>
    <xf numFmtId="0" fontId="39" fillId="0" borderId="0" xfId="0" applyFont="1" applyFill="1" applyBorder="1"/>
    <xf numFmtId="9" fontId="0" fillId="22" borderId="0" xfId="0" applyNumberFormat="1" applyFont="1" applyFill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2" fillId="0" borderId="0" xfId="0" applyFont="1"/>
    <xf numFmtId="3" fontId="27" fillId="0" borderId="0" xfId="0" applyNumberFormat="1" applyFont="1" applyFill="1" applyBorder="1"/>
    <xf numFmtId="3" fontId="53" fillId="0" borderId="0" xfId="0" applyNumberFormat="1" applyFont="1"/>
    <xf numFmtId="0" fontId="53" fillId="0" borderId="0" xfId="0" applyFont="1"/>
    <xf numFmtId="9" fontId="53" fillId="0" borderId="14" xfId="0" applyNumberFormat="1" applyFont="1" applyBorder="1"/>
    <xf numFmtId="3" fontId="54" fillId="0" borderId="0" xfId="0" applyNumberFormat="1" applyFont="1"/>
    <xf numFmtId="3" fontId="37" fillId="23" borderId="16" xfId="0" applyNumberFormat="1" applyFont="1" applyFill="1" applyBorder="1"/>
    <xf numFmtId="3" fontId="37" fillId="23" borderId="11" xfId="0" applyNumberFormat="1" applyFont="1" applyFill="1" applyBorder="1"/>
    <xf numFmtId="3" fontId="56" fillId="0" borderId="0" xfId="0" applyNumberFormat="1" applyFont="1"/>
    <xf numFmtId="0" fontId="56" fillId="0" borderId="0" xfId="0" applyFont="1"/>
    <xf numFmtId="9" fontId="56" fillId="0" borderId="14" xfId="0" applyNumberFormat="1" applyFont="1" applyBorder="1"/>
    <xf numFmtId="0" fontId="4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47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2" fontId="49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9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30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48" fillId="0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7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1" fontId="8" fillId="0" borderId="30" xfId="0" applyNumberFormat="1" applyFont="1" applyBorder="1" applyAlignment="1">
      <alignment vertical="top"/>
    </xf>
    <xf numFmtId="1" fontId="8" fillId="0" borderId="21" xfId="0" applyNumberFormat="1" applyFont="1" applyBorder="1" applyAlignment="1">
      <alignment vertical="top"/>
    </xf>
    <xf numFmtId="1" fontId="8" fillId="0" borderId="22" xfId="0" applyNumberFormat="1" applyFont="1" applyBorder="1" applyAlignment="1">
      <alignment vertical="top"/>
    </xf>
    <xf numFmtId="0" fontId="65" fillId="0" borderId="23" xfId="0" applyFont="1" applyBorder="1" applyAlignment="1">
      <alignment vertical="center"/>
    </xf>
    <xf numFmtId="1" fontId="8" fillId="0" borderId="17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vertical="top"/>
    </xf>
    <xf numFmtId="1" fontId="8" fillId="0" borderId="23" xfId="0" applyNumberFormat="1" applyFont="1" applyBorder="1" applyAlignment="1">
      <alignment vertical="top"/>
    </xf>
    <xf numFmtId="0" fontId="65" fillId="0" borderId="17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1" fontId="8" fillId="0" borderId="29" xfId="0" applyNumberFormat="1" applyFont="1" applyBorder="1" applyAlignment="1">
      <alignment vertical="top"/>
    </xf>
    <xf numFmtId="1" fontId="8" fillId="0" borderId="25" xfId="0" applyNumberFormat="1" applyFont="1" applyBorder="1" applyAlignment="1">
      <alignment vertical="top"/>
    </xf>
    <xf numFmtId="1" fontId="8" fillId="0" borderId="26" xfId="0" applyNumberFormat="1" applyFont="1" applyBorder="1" applyAlignment="1">
      <alignment vertical="top"/>
    </xf>
    <xf numFmtId="0" fontId="49" fillId="0" borderId="30" xfId="0" applyFont="1" applyBorder="1" applyAlignment="1">
      <alignment horizontal="center"/>
    </xf>
    <xf numFmtId="0" fontId="66" fillId="0" borderId="0" xfId="0" applyFont="1" applyFill="1" applyBorder="1" applyAlignment="1">
      <alignment vertical="center"/>
    </xf>
    <xf numFmtId="1" fontId="49" fillId="0" borderId="0" xfId="0" applyNumberFormat="1" applyFont="1" applyBorder="1" applyAlignment="1">
      <alignment vertical="center"/>
    </xf>
    <xf numFmtId="1" fontId="50" fillId="0" borderId="0" xfId="0" applyNumberFormat="1" applyFont="1" applyBorder="1" applyAlignment="1">
      <alignment vertical="top"/>
    </xf>
    <xf numFmtId="1" fontId="67" fillId="0" borderId="0" xfId="0" applyNumberFormat="1" applyFont="1" applyBorder="1" applyAlignment="1">
      <alignment vertical="top"/>
    </xf>
    <xf numFmtId="0" fontId="67" fillId="0" borderId="0" xfId="0" applyFont="1" applyBorder="1" applyAlignment="1">
      <alignment vertical="center"/>
    </xf>
    <xf numFmtId="0" fontId="48" fillId="0" borderId="22" xfId="0" applyFont="1" applyFill="1" applyBorder="1" applyAlignment="1">
      <alignment horizontal="center"/>
    </xf>
    <xf numFmtId="0" fontId="65" fillId="0" borderId="30" xfId="0" applyFont="1" applyBorder="1" applyAlignment="1">
      <alignment vertical="center"/>
    </xf>
    <xf numFmtId="0" fontId="68" fillId="0" borderId="0" xfId="0" applyFont="1" applyFill="1" applyBorder="1" applyAlignment="1">
      <alignment vertical="top"/>
    </xf>
    <xf numFmtId="0" fontId="68" fillId="0" borderId="25" xfId="0" applyFont="1" applyFill="1" applyBorder="1" applyAlignment="1">
      <alignment vertical="top"/>
    </xf>
    <xf numFmtId="1" fontId="69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top"/>
    </xf>
    <xf numFmtId="0" fontId="62" fillId="0" borderId="0" xfId="34" applyBorder="1" applyAlignment="1">
      <alignment vertical="center"/>
    </xf>
    <xf numFmtId="0" fontId="61" fillId="0" borderId="0" xfId="0" applyFont="1" applyBorder="1" applyAlignment="1">
      <alignment vertical="center"/>
    </xf>
    <xf numFmtId="0" fontId="33" fillId="0" borderId="0" xfId="0" applyFont="1" applyBorder="1" applyAlignment="1">
      <alignment vertical="top"/>
    </xf>
    <xf numFmtId="0" fontId="62" fillId="0" borderId="0" xfId="34"/>
    <xf numFmtId="3" fontId="1" fillId="0" borderId="0" xfId="0" applyNumberFormat="1" applyFont="1"/>
    <xf numFmtId="0" fontId="1" fillId="0" borderId="12" xfId="0" applyFont="1" applyBorder="1"/>
    <xf numFmtId="0" fontId="1" fillId="0" borderId="0" xfId="0" applyFont="1" applyFill="1" applyBorder="1"/>
    <xf numFmtId="3" fontId="37" fillId="23" borderId="0" xfId="0" applyNumberFormat="1" applyFont="1" applyFill="1" applyBorder="1"/>
    <xf numFmtId="3" fontId="37" fillId="0" borderId="12" xfId="0" applyNumberFormat="1" applyFont="1" applyBorder="1"/>
    <xf numFmtId="3" fontId="27" fillId="0" borderId="10" xfId="0" applyNumberFormat="1" applyFont="1" applyFill="1" applyBorder="1"/>
    <xf numFmtId="4" fontId="0" fillId="0" borderId="0" xfId="0" applyNumberFormat="1" applyBorder="1" applyAlignment="1">
      <alignment horizontal="left"/>
    </xf>
    <xf numFmtId="3" fontId="6" fillId="17" borderId="12" xfId="0" applyNumberFormat="1" applyFont="1" applyFill="1" applyBorder="1"/>
    <xf numFmtId="4" fontId="0" fillId="0" borderId="0" xfId="0" applyNumberFormat="1" applyBorder="1"/>
    <xf numFmtId="3" fontId="39" fillId="0" borderId="10" xfId="0" applyNumberFormat="1" applyFont="1" applyBorder="1"/>
    <xf numFmtId="164" fontId="0" fillId="0" borderId="0" xfId="0" applyNumberFormat="1" applyBorder="1"/>
    <xf numFmtId="3" fontId="1" fillId="0" borderId="0" xfId="0" applyNumberFormat="1" applyFont="1" applyFill="1" applyBorder="1"/>
    <xf numFmtId="9" fontId="51" fillId="0" borderId="0" xfId="0" applyNumberFormat="1" applyFont="1" applyBorder="1"/>
    <xf numFmtId="0" fontId="0" fillId="0" borderId="31" xfId="0" applyBorder="1"/>
    <xf numFmtId="3" fontId="27" fillId="0" borderId="19" xfId="0" applyNumberFormat="1" applyFont="1" applyFill="1" applyBorder="1"/>
    <xf numFmtId="9" fontId="0" fillId="0" borderId="0" xfId="0" applyNumberFormat="1"/>
    <xf numFmtId="9" fontId="1" fillId="0" borderId="27" xfId="0" applyNumberFormat="1" applyFont="1" applyBorder="1"/>
    <xf numFmtId="9" fontId="1" fillId="23" borderId="27" xfId="0" applyNumberFormat="1" applyFont="1" applyFill="1" applyBorder="1"/>
    <xf numFmtId="9" fontId="0" fillId="23" borderId="27" xfId="0" applyNumberFormat="1" applyFill="1" applyBorder="1"/>
    <xf numFmtId="3" fontId="3" fillId="0" borderId="32" xfId="0" applyNumberFormat="1" applyFont="1" applyBorder="1"/>
    <xf numFmtId="3" fontId="0" fillId="0" borderId="32" xfId="0" applyNumberFormat="1" applyFont="1" applyBorder="1"/>
    <xf numFmtId="0" fontId="0" fillId="0" borderId="32" xfId="0" applyBorder="1"/>
    <xf numFmtId="9" fontId="1" fillId="0" borderId="32" xfId="0" applyNumberFormat="1" applyFont="1" applyBorder="1"/>
    <xf numFmtId="9" fontId="0" fillId="0" borderId="32" xfId="0" applyNumberFormat="1" applyBorder="1"/>
    <xf numFmtId="3" fontId="0" fillId="0" borderId="32" xfId="0" applyNumberFormat="1" applyBorder="1"/>
    <xf numFmtId="9" fontId="0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3" fontId="0" fillId="0" borderId="34" xfId="0" applyNumberFormat="1" applyFont="1" applyBorder="1"/>
    <xf numFmtId="0" fontId="0" fillId="0" borderId="34" xfId="0" applyBorder="1"/>
    <xf numFmtId="9" fontId="0" fillId="0" borderId="34" xfId="0" applyNumberFormat="1" applyBorder="1"/>
    <xf numFmtId="3" fontId="3" fillId="0" borderId="35" xfId="0" applyNumberFormat="1" applyFont="1" applyBorder="1"/>
    <xf numFmtId="3" fontId="0" fillId="0" borderId="35" xfId="0" applyNumberFormat="1" applyBorder="1"/>
    <xf numFmtId="3" fontId="0" fillId="0" borderId="36" xfId="0" applyNumberFormat="1" applyBorder="1"/>
    <xf numFmtId="9" fontId="0" fillId="0" borderId="37" xfId="0" applyNumberFormat="1" applyFont="1" applyBorder="1"/>
    <xf numFmtId="3" fontId="0" fillId="0" borderId="37" xfId="0" applyNumberFormat="1" applyBorder="1"/>
    <xf numFmtId="9" fontId="28" fillId="0" borderId="35" xfId="0" applyNumberFormat="1" applyFont="1" applyBorder="1"/>
    <xf numFmtId="9" fontId="28" fillId="0" borderId="32" xfId="0" applyNumberFormat="1" applyFont="1" applyBorder="1"/>
    <xf numFmtId="3" fontId="0" fillId="0" borderId="32" xfId="0" applyNumberFormat="1" applyFont="1" applyFill="1" applyBorder="1"/>
    <xf numFmtId="0" fontId="0" fillId="0" borderId="32" xfId="0" applyFill="1" applyBorder="1"/>
    <xf numFmtId="9" fontId="0" fillId="0" borderId="35" xfId="0" applyNumberFormat="1" applyFont="1" applyBorder="1"/>
    <xf numFmtId="3" fontId="6" fillId="0" borderId="35" xfId="0" applyNumberFormat="1" applyFont="1" applyBorder="1"/>
    <xf numFmtId="3" fontId="6" fillId="0" borderId="32" xfId="0" applyNumberFormat="1" applyFont="1" applyBorder="1"/>
    <xf numFmtId="0" fontId="0" fillId="0" borderId="32" xfId="0" applyFont="1" applyFill="1" applyBorder="1"/>
    <xf numFmtId="3" fontId="6" fillId="0" borderId="36" xfId="0" applyNumberFormat="1" applyFont="1" applyBorder="1"/>
    <xf numFmtId="3" fontId="6" fillId="0" borderId="37" xfId="0" applyNumberFormat="1" applyFont="1" applyBorder="1"/>
    <xf numFmtId="3" fontId="0" fillId="0" borderId="37" xfId="0" applyNumberFormat="1" applyFont="1" applyBorder="1"/>
    <xf numFmtId="0" fontId="0" fillId="0" borderId="37" xfId="0" applyBorder="1"/>
    <xf numFmtId="3" fontId="0" fillId="0" borderId="37" xfId="0" applyNumberFormat="1" applyFont="1" applyFill="1" applyBorder="1"/>
    <xf numFmtId="0" fontId="0" fillId="0" borderId="32" xfId="0" applyFont="1" applyBorder="1"/>
    <xf numFmtId="3" fontId="6" fillId="17" borderId="35" xfId="0" applyNumberFormat="1" applyFont="1" applyFill="1" applyBorder="1"/>
    <xf numFmtId="0" fontId="6" fillId="0" borderId="32" xfId="0" applyFont="1" applyBorder="1"/>
    <xf numFmtId="3" fontId="6" fillId="17" borderId="36" xfId="0" applyNumberFormat="1" applyFont="1" applyFill="1" applyBorder="1"/>
    <xf numFmtId="3" fontId="6" fillId="17" borderId="37" xfId="0" applyNumberFormat="1" applyFont="1" applyFill="1" applyBorder="1"/>
    <xf numFmtId="0" fontId="0" fillId="0" borderId="37" xfId="0" applyFont="1" applyBorder="1"/>
    <xf numFmtId="3" fontId="1" fillId="0" borderId="35" xfId="0" applyNumberFormat="1" applyFont="1" applyBorder="1"/>
    <xf numFmtId="3" fontId="0" fillId="0" borderId="36" xfId="0" applyNumberFormat="1" applyFont="1" applyBorder="1"/>
    <xf numFmtId="3" fontId="0" fillId="0" borderId="35" xfId="0" applyNumberFormat="1" applyFont="1" applyBorder="1"/>
    <xf numFmtId="9" fontId="0" fillId="23" borderId="0" xfId="0" applyNumberFormat="1" applyFill="1" applyBorder="1"/>
    <xf numFmtId="9" fontId="5" fillId="17" borderId="0" xfId="0" applyNumberFormat="1" applyFont="1" applyFill="1" applyBorder="1"/>
    <xf numFmtId="9" fontId="0" fillId="0" borderId="36" xfId="0" applyNumberFormat="1" applyFont="1" applyBorder="1"/>
    <xf numFmtId="3" fontId="39" fillId="0" borderId="33" xfId="0" applyNumberFormat="1" applyFont="1" applyBorder="1"/>
    <xf numFmtId="3" fontId="39" fillId="0" borderId="34" xfId="0" applyNumberFormat="1" applyFont="1" applyBorder="1"/>
    <xf numFmtId="3" fontId="39" fillId="0" borderId="32" xfId="0" applyNumberFormat="1" applyFont="1" applyBorder="1"/>
    <xf numFmtId="3" fontId="6" fillId="17" borderId="32" xfId="0" applyNumberFormat="1" applyFont="1" applyFill="1" applyBorder="1"/>
    <xf numFmtId="0" fontId="4" fillId="0" borderId="32" xfId="0" applyFont="1" applyBorder="1"/>
    <xf numFmtId="3" fontId="52" fillId="0" borderId="35" xfId="0" applyNumberFormat="1" applyFont="1" applyBorder="1"/>
    <xf numFmtId="3" fontId="52" fillId="0" borderId="32" xfId="0" applyNumberFormat="1" applyFont="1" applyBorder="1"/>
    <xf numFmtId="165" fontId="0" fillId="0" borderId="35" xfId="0" applyNumberFormat="1" applyFont="1" applyBorder="1"/>
    <xf numFmtId="165" fontId="0" fillId="0" borderId="32" xfId="0" applyNumberFormat="1" applyFont="1" applyBorder="1"/>
    <xf numFmtId="0" fontId="4" fillId="0" borderId="32" xfId="0" applyFont="1" applyFill="1" applyBorder="1"/>
    <xf numFmtId="0" fontId="1" fillId="0" borderId="32" xfId="0" applyFont="1" applyFill="1" applyBorder="1"/>
    <xf numFmtId="0" fontId="1" fillId="0" borderId="37" xfId="0" applyFont="1" applyFill="1" applyBorder="1"/>
    <xf numFmtId="9" fontId="0" fillId="0" borderId="37" xfId="0" applyNumberFormat="1" applyBorder="1"/>
    <xf numFmtId="3" fontId="28" fillId="0" borderId="35" xfId="0" applyNumberFormat="1" applyFont="1" applyBorder="1"/>
    <xf numFmtId="3" fontId="28" fillId="0" borderId="32" xfId="0" applyNumberFormat="1" applyFont="1" applyBorder="1"/>
    <xf numFmtId="164" fontId="28" fillId="0" borderId="35" xfId="0" applyNumberFormat="1" applyFont="1" applyBorder="1"/>
    <xf numFmtId="164" fontId="28" fillId="0" borderId="32" xfId="0" applyNumberFormat="1" applyFont="1" applyBorder="1"/>
    <xf numFmtId="164" fontId="0" fillId="0" borderId="35" xfId="0" applyNumberFormat="1" applyBorder="1"/>
    <xf numFmtId="164" fontId="0" fillId="0" borderId="32" xfId="0" applyNumberFormat="1" applyBorder="1"/>
    <xf numFmtId="4" fontId="0" fillId="0" borderId="35" xfId="0" applyNumberFormat="1" applyBorder="1"/>
    <xf numFmtId="4" fontId="0" fillId="0" borderId="32" xfId="0" applyNumberFormat="1" applyBorder="1"/>
    <xf numFmtId="3" fontId="5" fillId="17" borderId="35" xfId="0" applyNumberFormat="1" applyFont="1" applyFill="1" applyBorder="1"/>
    <xf numFmtId="3" fontId="5" fillId="17" borderId="32" xfId="0" applyNumberFormat="1" applyFont="1" applyFill="1" applyBorder="1"/>
    <xf numFmtId="0" fontId="2" fillId="0" borderId="32" xfId="0" applyFont="1" applyFill="1" applyBorder="1"/>
    <xf numFmtId="0" fontId="2" fillId="0" borderId="37" xfId="0" applyFont="1" applyBorder="1"/>
    <xf numFmtId="4" fontId="27" fillId="0" borderId="35" xfId="0" applyNumberFormat="1" applyFont="1" applyBorder="1"/>
    <xf numFmtId="4" fontId="27" fillId="0" borderId="32" xfId="0" applyNumberFormat="1" applyFont="1" applyBorder="1"/>
    <xf numFmtId="3" fontId="5" fillId="0" borderId="35" xfId="0" applyNumberFormat="1" applyFont="1" applyBorder="1"/>
    <xf numFmtId="3" fontId="5" fillId="0" borderId="32" xfId="0" applyNumberFormat="1" applyFont="1" applyBorder="1"/>
    <xf numFmtId="9" fontId="5" fillId="17" borderId="36" xfId="0" applyNumberFormat="1" applyFont="1" applyFill="1" applyBorder="1"/>
    <xf numFmtId="9" fontId="5" fillId="17" borderId="37" xfId="0" applyNumberFormat="1" applyFont="1" applyFill="1" applyBorder="1"/>
    <xf numFmtId="0" fontId="0" fillId="0" borderId="37" xfId="0" applyFill="1" applyBorder="1"/>
    <xf numFmtId="3" fontId="3" fillId="0" borderId="33" xfId="0" applyNumberFormat="1" applyFont="1" applyFill="1" applyBorder="1"/>
    <xf numFmtId="3" fontId="39" fillId="0" borderId="34" xfId="0" applyNumberFormat="1" applyFont="1" applyFill="1" applyBorder="1"/>
    <xf numFmtId="3" fontId="0" fillId="0" borderId="34" xfId="0" applyNumberFormat="1" applyFont="1" applyFill="1" applyBorder="1"/>
    <xf numFmtId="0" fontId="0" fillId="0" borderId="34" xfId="0" applyFill="1" applyBorder="1"/>
    <xf numFmtId="9" fontId="0" fillId="0" borderId="34" xfId="0" applyNumberFormat="1" applyFill="1" applyBorder="1"/>
    <xf numFmtId="3" fontId="0" fillId="0" borderId="35" xfId="0" applyNumberFormat="1" applyFill="1" applyBorder="1"/>
    <xf numFmtId="3" fontId="0" fillId="0" borderId="32" xfId="0" applyNumberFormat="1" applyFill="1" applyBorder="1"/>
    <xf numFmtId="9" fontId="0" fillId="0" borderId="32" xfId="0" applyNumberFormat="1" applyFill="1" applyBorder="1"/>
    <xf numFmtId="3" fontId="27" fillId="0" borderId="35" xfId="0" applyNumberFormat="1" applyFont="1" applyFill="1" applyBorder="1"/>
    <xf numFmtId="3" fontId="27" fillId="0" borderId="32" xfId="0" applyNumberFormat="1" applyFont="1" applyFill="1" applyBorder="1"/>
    <xf numFmtId="0" fontId="6" fillId="0" borderId="32" xfId="0" applyFont="1" applyFill="1" applyBorder="1"/>
    <xf numFmtId="9" fontId="28" fillId="0" borderId="35" xfId="0" applyNumberFormat="1" applyFont="1" applyFill="1" applyBorder="1"/>
    <xf numFmtId="9" fontId="28" fillId="0" borderId="32" xfId="0" applyNumberFormat="1" applyFont="1" applyFill="1" applyBorder="1"/>
    <xf numFmtId="3" fontId="0" fillId="0" borderId="35" xfId="0" applyNumberFormat="1" applyFont="1" applyFill="1" applyBorder="1"/>
    <xf numFmtId="9" fontId="0" fillId="0" borderId="35" xfId="0" applyNumberFormat="1" applyFont="1" applyFill="1" applyBorder="1"/>
    <xf numFmtId="9" fontId="0" fillId="0" borderId="32" xfId="0" applyNumberFormat="1" applyFont="1" applyFill="1" applyBorder="1"/>
    <xf numFmtId="3" fontId="27" fillId="17" borderId="35" xfId="0" applyNumberFormat="1" applyFont="1" applyFill="1" applyBorder="1"/>
    <xf numFmtId="3" fontId="27" fillId="17" borderId="32" xfId="0" applyNumberFormat="1" applyFont="1" applyFill="1" applyBorder="1"/>
    <xf numFmtId="9" fontId="0" fillId="0" borderId="36" xfId="0" applyNumberFormat="1" applyFont="1" applyFill="1" applyBorder="1"/>
    <xf numFmtId="9" fontId="0" fillId="0" borderId="37" xfId="0" applyNumberFormat="1" applyFont="1" applyFill="1" applyBorder="1"/>
    <xf numFmtId="0" fontId="0" fillId="0" borderId="37" xfId="0" applyFont="1" applyFill="1" applyBorder="1"/>
    <xf numFmtId="9" fontId="0" fillId="0" borderId="37" xfId="0" applyNumberFormat="1" applyFill="1" applyBorder="1"/>
    <xf numFmtId="3" fontId="0" fillId="0" borderId="34" xfId="0" applyNumberFormat="1" applyBorder="1"/>
    <xf numFmtId="3" fontId="2" fillId="0" borderId="35" xfId="0" applyNumberFormat="1" applyFont="1" applyBorder="1"/>
    <xf numFmtId="3" fontId="4" fillId="0" borderId="32" xfId="0" applyNumberFormat="1" applyFont="1" applyBorder="1"/>
    <xf numFmtId="9" fontId="37" fillId="0" borderId="32" xfId="0" applyNumberFormat="1" applyFont="1" applyBorder="1"/>
    <xf numFmtId="9" fontId="38" fillId="0" borderId="32" xfId="0" applyNumberFormat="1" applyFont="1" applyBorder="1"/>
    <xf numFmtId="3" fontId="4" fillId="0" borderId="37" xfId="0" applyNumberFormat="1" applyFont="1" applyBorder="1"/>
    <xf numFmtId="164" fontId="0" fillId="0" borderId="37" xfId="0" applyNumberFormat="1" applyBorder="1"/>
    <xf numFmtId="3" fontId="36" fillId="0" borderId="35" xfId="0" applyNumberFormat="1" applyFont="1" applyBorder="1"/>
    <xf numFmtId="3" fontId="36" fillId="0" borderId="32" xfId="0" applyNumberFormat="1" applyFont="1" applyBorder="1"/>
    <xf numFmtId="0" fontId="0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6" fillId="0" borderId="35" xfId="0" applyNumberFormat="1" applyFont="1" applyFill="1" applyBorder="1"/>
    <xf numFmtId="3" fontId="6" fillId="0" borderId="32" xfId="0" applyNumberFormat="1" applyFont="1" applyFill="1" applyBorder="1"/>
    <xf numFmtId="9" fontId="38" fillId="0" borderId="35" xfId="0" applyNumberFormat="1" applyFont="1" applyBorder="1"/>
    <xf numFmtId="0" fontId="1" fillId="0" borderId="37" xfId="0" applyFont="1" applyBorder="1"/>
    <xf numFmtId="4" fontId="28" fillId="0" borderId="35" xfId="0" applyNumberFormat="1" applyFont="1" applyBorder="1"/>
    <xf numFmtId="4" fontId="28" fillId="0" borderId="32" xfId="0" applyNumberFormat="1" applyFont="1" applyBorder="1"/>
    <xf numFmtId="0" fontId="6" fillId="0" borderId="37" xfId="0" applyFont="1" applyBorder="1"/>
    <xf numFmtId="9" fontId="6" fillId="0" borderId="32" xfId="0" applyNumberFormat="1" applyFont="1" applyBorder="1"/>
    <xf numFmtId="3" fontId="27" fillId="0" borderId="35" xfId="0" applyNumberFormat="1" applyFont="1" applyBorder="1"/>
    <xf numFmtId="3" fontId="27" fillId="0" borderId="32" xfId="0" applyNumberFormat="1" applyFont="1" applyBorder="1"/>
    <xf numFmtId="0" fontId="6" fillId="0" borderId="37" xfId="0" applyFont="1" applyFill="1" applyBorder="1"/>
    <xf numFmtId="164" fontId="0" fillId="0" borderId="37" xfId="0" applyNumberFormat="1" applyFont="1" applyBorder="1"/>
    <xf numFmtId="4" fontId="38" fillId="0" borderId="35" xfId="0" applyNumberFormat="1" applyFont="1" applyBorder="1"/>
    <xf numFmtId="4" fontId="38" fillId="0" borderId="32" xfId="0" applyNumberFormat="1" applyFont="1" applyBorder="1"/>
    <xf numFmtId="3" fontId="4" fillId="0" borderId="35" xfId="0" applyNumberFormat="1" applyFont="1" applyBorder="1"/>
    <xf numFmtId="9" fontId="4" fillId="0" borderId="36" xfId="0" applyNumberFormat="1" applyFont="1" applyFill="1" applyBorder="1"/>
    <xf numFmtId="9" fontId="4" fillId="0" borderId="37" xfId="0" applyNumberFormat="1" applyFont="1" applyFill="1" applyBorder="1"/>
    <xf numFmtId="9" fontId="4" fillId="17" borderId="36" xfId="0" applyNumberFormat="1" applyFont="1" applyFill="1" applyBorder="1"/>
    <xf numFmtId="9" fontId="4" fillId="17" borderId="37" xfId="0" applyNumberFormat="1" applyFont="1" applyFill="1" applyBorder="1"/>
    <xf numFmtId="1" fontId="0" fillId="0" borderId="35" xfId="0" applyNumberFormat="1" applyBorder="1"/>
    <xf numFmtId="1" fontId="0" fillId="0" borderId="32" xfId="0" applyNumberFormat="1" applyBorder="1"/>
    <xf numFmtId="0" fontId="0" fillId="0" borderId="35" xfId="0" applyFont="1" applyBorder="1"/>
    <xf numFmtId="3" fontId="0" fillId="18" borderId="35" xfId="0" applyNumberFormat="1" applyFill="1" applyBorder="1"/>
    <xf numFmtId="3" fontId="0" fillId="18" borderId="32" xfId="0" applyNumberFormat="1" applyFill="1" applyBorder="1"/>
    <xf numFmtId="0" fontId="5" fillId="0" borderId="32" xfId="0" applyFont="1" applyBorder="1"/>
    <xf numFmtId="164" fontId="5" fillId="0" borderId="35" xfId="0" applyNumberFormat="1" applyFont="1" applyBorder="1"/>
    <xf numFmtId="164" fontId="5" fillId="0" borderId="32" xfId="0" applyNumberFormat="1" applyFont="1" applyBorder="1"/>
    <xf numFmtId="164" fontId="5" fillId="0" borderId="36" xfId="0" applyNumberFormat="1" applyFont="1" applyBorder="1"/>
    <xf numFmtId="164" fontId="5" fillId="0" borderId="37" xfId="0" applyNumberFormat="1" applyFont="1" applyBorder="1"/>
    <xf numFmtId="0" fontId="5" fillId="0" borderId="37" xfId="0" applyFont="1" applyBorder="1"/>
    <xf numFmtId="3" fontId="5" fillId="0" borderId="33" xfId="0" applyNumberFormat="1" applyFont="1" applyBorder="1"/>
    <xf numFmtId="3" fontId="5" fillId="0" borderId="34" xfId="0" applyNumberFormat="1" applyFont="1" applyBorder="1"/>
    <xf numFmtId="3" fontId="5" fillId="0" borderId="36" xfId="0" applyNumberFormat="1" applyFont="1" applyBorder="1"/>
    <xf numFmtId="3" fontId="5" fillId="0" borderId="37" xfId="0" applyNumberFormat="1" applyFont="1" applyBorder="1"/>
    <xf numFmtId="164" fontId="36" fillId="0" borderId="35" xfId="0" applyNumberFormat="1" applyFont="1" applyBorder="1"/>
    <xf numFmtId="164" fontId="36" fillId="0" borderId="32" xfId="0" applyNumberFormat="1" applyFont="1" applyBorder="1"/>
    <xf numFmtId="0" fontId="0" fillId="0" borderId="31" xfId="0" applyFill="1" applyBorder="1"/>
    <xf numFmtId="0" fontId="0" fillId="0" borderId="0" xfId="0" applyFont="1" applyFill="1" applyBorder="1" applyAlignment="1">
      <alignment horizontal="center" wrapText="1"/>
    </xf>
    <xf numFmtId="9" fontId="33" fillId="0" borderId="0" xfId="0" applyNumberFormat="1" applyFont="1" applyFill="1" applyBorder="1"/>
    <xf numFmtId="3" fontId="0" fillId="22" borderId="38" xfId="0" applyNumberFormat="1" applyFont="1" applyFill="1" applyBorder="1"/>
    <xf numFmtId="3" fontId="0" fillId="22" borderId="39" xfId="0" applyNumberFormat="1" applyFont="1" applyFill="1" applyBorder="1"/>
    <xf numFmtId="3" fontId="33" fillId="22" borderId="39" xfId="0" applyNumberFormat="1" applyFont="1" applyFill="1" applyBorder="1"/>
    <xf numFmtId="3" fontId="33" fillId="22" borderId="40" xfId="0" applyNumberFormat="1" applyFont="1" applyFill="1" applyBorder="1"/>
    <xf numFmtId="9" fontId="4" fillId="22" borderId="41" xfId="0" applyNumberFormat="1" applyFont="1" applyFill="1" applyBorder="1"/>
    <xf numFmtId="9" fontId="0" fillId="22" borderId="42" xfId="0" applyNumberFormat="1" applyFill="1" applyBorder="1"/>
    <xf numFmtId="0" fontId="0" fillId="22" borderId="42" xfId="0" applyFill="1" applyBorder="1"/>
    <xf numFmtId="0" fontId="0" fillId="22" borderId="32" xfId="0" applyFont="1" applyFill="1" applyBorder="1"/>
    <xf numFmtId="3" fontId="0" fillId="22" borderId="32" xfId="0" applyNumberFormat="1" applyFill="1" applyBorder="1"/>
    <xf numFmtId="0" fontId="0" fillId="22" borderId="32" xfId="0" applyFill="1" applyBorder="1"/>
    <xf numFmtId="9" fontId="0" fillId="22" borderId="32" xfId="0" applyNumberFormat="1" applyFont="1" applyFill="1" applyBorder="1"/>
    <xf numFmtId="3" fontId="3" fillId="22" borderId="39" xfId="0" applyNumberFormat="1" applyFont="1" applyFill="1" applyBorder="1"/>
    <xf numFmtId="0" fontId="0" fillId="22" borderId="32" xfId="0" applyFont="1" applyFill="1" applyBorder="1" applyAlignment="1">
      <alignment horizontal="center" wrapText="1"/>
    </xf>
    <xf numFmtId="3" fontId="0" fillId="22" borderId="43" xfId="0" applyNumberFormat="1" applyFont="1" applyFill="1" applyBorder="1"/>
    <xf numFmtId="3" fontId="1" fillId="22" borderId="43" xfId="0" applyNumberFormat="1" applyFont="1" applyFill="1" applyBorder="1"/>
    <xf numFmtId="3" fontId="0" fillId="22" borderId="32" xfId="0" applyNumberFormat="1" applyFont="1" applyFill="1" applyBorder="1"/>
    <xf numFmtId="3" fontId="1" fillId="22" borderId="32" xfId="0" applyNumberFormat="1" applyFont="1" applyFill="1" applyBorder="1"/>
    <xf numFmtId="3" fontId="33" fillId="22" borderId="32" xfId="0" applyNumberFormat="1" applyFont="1" applyFill="1" applyBorder="1"/>
    <xf numFmtId="3" fontId="33" fillId="22" borderId="44" xfId="0" applyNumberFormat="1" applyFont="1" applyFill="1" applyBorder="1"/>
    <xf numFmtId="3" fontId="0" fillId="22" borderId="44" xfId="0" applyNumberFormat="1" applyFont="1" applyFill="1" applyBorder="1"/>
    <xf numFmtId="3" fontId="1" fillId="22" borderId="44" xfId="0" applyNumberFormat="1" applyFont="1" applyFill="1" applyBorder="1"/>
    <xf numFmtId="0" fontId="3" fillId="22" borderId="39" xfId="0" applyFont="1" applyFill="1" applyBorder="1"/>
    <xf numFmtId="3" fontId="2" fillId="22" borderId="39" xfId="0" applyNumberFormat="1" applyFont="1" applyFill="1" applyBorder="1"/>
    <xf numFmtId="3" fontId="2" fillId="22" borderId="32" xfId="0" applyNumberFormat="1" applyFont="1" applyFill="1" applyBorder="1"/>
    <xf numFmtId="3" fontId="39" fillId="22" borderId="39" xfId="0" applyNumberFormat="1" applyFont="1" applyFill="1" applyBorder="1"/>
    <xf numFmtId="3" fontId="39" fillId="22" borderId="32" xfId="0" applyNumberFormat="1" applyFont="1" applyFill="1" applyBorder="1"/>
    <xf numFmtId="3" fontId="3" fillId="22" borderId="32" xfId="0" applyNumberFormat="1" applyFont="1" applyFill="1" applyBorder="1"/>
    <xf numFmtId="3" fontId="0" fillId="22" borderId="39" xfId="0" applyNumberFormat="1" applyFont="1" applyFill="1" applyBorder="1" applyAlignment="1">
      <alignment horizontal="right"/>
    </xf>
    <xf numFmtId="3" fontId="0" fillId="22" borderId="32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15" xfId="0" applyNumberFormat="1" applyFont="1" applyFill="1" applyBorder="1" applyAlignment="1">
      <alignment horizontal="right"/>
    </xf>
    <xf numFmtId="9" fontId="0" fillId="22" borderId="45" xfId="0" applyNumberFormat="1" applyFont="1" applyFill="1" applyBorder="1" applyAlignment="1">
      <alignment horizontal="right"/>
    </xf>
    <xf numFmtId="9" fontId="33" fillId="22" borderId="45" xfId="0" applyNumberFormat="1" applyFont="1" applyFill="1" applyBorder="1" applyAlignment="1">
      <alignment horizontal="right"/>
    </xf>
    <xf numFmtId="9" fontId="0" fillId="0" borderId="27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9" fontId="0" fillId="0" borderId="46" xfId="0" applyNumberFormat="1" applyBorder="1" applyAlignment="1">
      <alignment horizontal="right"/>
    </xf>
    <xf numFmtId="9" fontId="0" fillId="0" borderId="47" xfId="0" applyNumberFormat="1" applyBorder="1" applyAlignment="1">
      <alignment horizontal="right"/>
    </xf>
    <xf numFmtId="9" fontId="0" fillId="0" borderId="48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47" xfId="0" applyNumberFormat="1" applyFont="1" applyFill="1" applyBorder="1" applyAlignment="1">
      <alignment horizontal="right"/>
    </xf>
    <xf numFmtId="9" fontId="0" fillId="0" borderId="47" xfId="0" applyNumberFormat="1" applyFont="1" applyBorder="1" applyAlignment="1">
      <alignment horizontal="right"/>
    </xf>
    <xf numFmtId="9" fontId="0" fillId="0" borderId="46" xfId="0" applyNumberFormat="1" applyFill="1" applyBorder="1" applyAlignment="1">
      <alignment horizontal="right"/>
    </xf>
    <xf numFmtId="9" fontId="0" fillId="0" borderId="47" xfId="0" applyNumberFormat="1" applyFill="1" applyBorder="1" applyAlignment="1">
      <alignment horizontal="right"/>
    </xf>
    <xf numFmtId="9" fontId="0" fillId="0" borderId="48" xfId="0" applyNumberFormat="1" applyFill="1" applyBorder="1" applyAlignment="1">
      <alignment horizontal="right"/>
    </xf>
    <xf numFmtId="9" fontId="51" fillId="0" borderId="47" xfId="0" applyNumberFormat="1" applyFont="1" applyBorder="1" applyAlignment="1">
      <alignment horizontal="right"/>
    </xf>
    <xf numFmtId="9" fontId="0" fillId="0" borderId="18" xfId="0" applyNumberFormat="1" applyBorder="1" applyAlignment="1">
      <alignment horizontal="right"/>
    </xf>
    <xf numFmtId="9" fontId="0" fillId="0" borderId="15" xfId="0" applyNumberFormat="1" applyBorder="1" applyAlignment="1">
      <alignment horizontal="right"/>
    </xf>
    <xf numFmtId="9" fontId="51" fillId="0" borderId="15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6" fillId="0" borderId="47" xfId="0" applyNumberFormat="1" applyFont="1" applyBorder="1" applyAlignment="1">
      <alignment horizontal="right"/>
    </xf>
    <xf numFmtId="9" fontId="56" fillId="0" borderId="0" xfId="0" applyNumberFormat="1" applyFont="1" applyAlignment="1">
      <alignment horizontal="right"/>
    </xf>
    <xf numFmtId="9" fontId="53" fillId="0" borderId="0" xfId="0" applyNumberFormat="1" applyFont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46" xfId="0" applyNumberFormat="1" applyFont="1" applyBorder="1" applyAlignment="1">
      <alignment horizontal="right"/>
    </xf>
    <xf numFmtId="9" fontId="0" fillId="0" borderId="48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22" borderId="49" xfId="0" applyNumberFormat="1" applyFill="1" applyBorder="1" applyAlignment="1">
      <alignment horizontal="right"/>
    </xf>
    <xf numFmtId="9" fontId="0" fillId="22" borderId="45" xfId="0" applyNumberFormat="1" applyFont="1" applyFill="1" applyBorder="1" applyAlignment="1">
      <alignment horizontal="right" wrapText="1"/>
    </xf>
    <xf numFmtId="9" fontId="1" fillId="22" borderId="50" xfId="0" applyNumberFormat="1" applyFont="1" applyFill="1" applyBorder="1" applyAlignment="1">
      <alignment horizontal="right"/>
    </xf>
    <xf numFmtId="9" fontId="1" fillId="22" borderId="45" xfId="0" applyNumberFormat="1" applyFont="1" applyFill="1" applyBorder="1" applyAlignment="1">
      <alignment horizontal="right"/>
    </xf>
    <xf numFmtId="9" fontId="1" fillId="22" borderId="51" xfId="0" applyNumberFormat="1" applyFont="1" applyFill="1" applyBorder="1" applyAlignment="1">
      <alignment horizontal="right"/>
    </xf>
    <xf numFmtId="9" fontId="3" fillId="22" borderId="45" xfId="0" applyNumberFormat="1" applyFont="1" applyFill="1" applyBorder="1" applyAlignment="1">
      <alignment horizontal="right"/>
    </xf>
    <xf numFmtId="3" fontId="33" fillId="22" borderId="52" xfId="0" applyNumberFormat="1" applyFont="1" applyFill="1" applyBorder="1"/>
    <xf numFmtId="3" fontId="33" fillId="22" borderId="53" xfId="0" applyNumberFormat="1" applyFont="1" applyFill="1" applyBorder="1"/>
    <xf numFmtId="3" fontId="0" fillId="22" borderId="53" xfId="0" applyNumberFormat="1" applyFont="1" applyFill="1" applyBorder="1"/>
    <xf numFmtId="9" fontId="0" fillId="22" borderId="54" xfId="0" applyNumberFormat="1" applyFont="1" applyFill="1" applyBorder="1" applyAlignment="1">
      <alignment horizontal="right"/>
    </xf>
    <xf numFmtId="3" fontId="0" fillId="0" borderId="16" xfId="0" applyNumberFormat="1" applyBorder="1"/>
    <xf numFmtId="3" fontId="0" fillId="0" borderId="55" xfId="0" applyNumberFormat="1" applyBorder="1"/>
    <xf numFmtId="4" fontId="27" fillId="0" borderId="19" xfId="0" applyNumberFormat="1" applyFont="1" applyFill="1" applyBorder="1"/>
    <xf numFmtId="9" fontId="0" fillId="23" borderId="14" xfId="0" applyNumberFormat="1" applyFill="1" applyBorder="1"/>
    <xf numFmtId="9" fontId="0" fillId="22" borderId="0" xfId="0" applyNumberFormat="1" applyFill="1" applyBorder="1"/>
    <xf numFmtId="3" fontId="55" fillId="0" borderId="30" xfId="0" applyNumberFormat="1" applyFont="1" applyBorder="1"/>
    <xf numFmtId="3" fontId="53" fillId="0" borderId="21" xfId="0" applyNumberFormat="1" applyFont="1" applyBorder="1"/>
    <xf numFmtId="0" fontId="53" fillId="0" borderId="21" xfId="0" applyFont="1" applyBorder="1"/>
    <xf numFmtId="9" fontId="53" fillId="0" borderId="56" xfId="0" applyNumberFormat="1" applyFont="1" applyBorder="1"/>
    <xf numFmtId="9" fontId="53" fillId="0" borderId="21" xfId="0" applyNumberFormat="1" applyFont="1" applyBorder="1" applyAlignment="1">
      <alignment horizontal="right"/>
    </xf>
    <xf numFmtId="0" fontId="53" fillId="0" borderId="22" xfId="0" applyFont="1" applyBorder="1"/>
    <xf numFmtId="3" fontId="0" fillId="0" borderId="17" xfId="0" applyNumberFormat="1" applyBorder="1"/>
    <xf numFmtId="3" fontId="53" fillId="0" borderId="0" xfId="0" applyNumberFormat="1" applyFont="1" applyBorder="1"/>
    <xf numFmtId="0" fontId="53" fillId="0" borderId="0" xfId="0" applyFont="1" applyBorder="1"/>
    <xf numFmtId="9" fontId="53" fillId="0" borderId="0" xfId="0" applyNumberFormat="1" applyFont="1" applyBorder="1" applyAlignment="1">
      <alignment horizontal="right"/>
    </xf>
    <xf numFmtId="0" fontId="53" fillId="0" borderId="23" xfId="0" applyFont="1" applyBorder="1"/>
    <xf numFmtId="3" fontId="0" fillId="23" borderId="17" xfId="0" applyNumberFormat="1" applyFill="1" applyBorder="1"/>
    <xf numFmtId="3" fontId="8" fillId="23" borderId="0" xfId="0" applyNumberFormat="1" applyFont="1" applyFill="1" applyBorder="1"/>
    <xf numFmtId="0" fontId="0" fillId="23" borderId="0" xfId="0" applyFill="1" applyBorder="1"/>
    <xf numFmtId="0" fontId="0" fillId="0" borderId="23" xfId="0" applyBorder="1"/>
    <xf numFmtId="9" fontId="33" fillId="0" borderId="17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9" fontId="0" fillId="22" borderId="17" xfId="0" applyNumberFormat="1" applyFont="1" applyFill="1" applyBorder="1"/>
    <xf numFmtId="3" fontId="0" fillId="0" borderId="29" xfId="0" applyNumberFormat="1" applyBorder="1"/>
    <xf numFmtId="3" fontId="0" fillId="0" borderId="25" xfId="0" applyNumberFormat="1" applyFont="1" applyFill="1" applyBorder="1"/>
    <xf numFmtId="0" fontId="0" fillId="0" borderId="25" xfId="0" applyFill="1" applyBorder="1"/>
    <xf numFmtId="9" fontId="0" fillId="0" borderId="57" xfId="0" applyNumberFormat="1" applyBorder="1"/>
    <xf numFmtId="0" fontId="0" fillId="0" borderId="25" xfId="0" applyBorder="1"/>
    <xf numFmtId="9" fontId="0" fillId="0" borderId="25" xfId="0" applyNumberFormat="1" applyBorder="1" applyAlignment="1">
      <alignment horizontal="right"/>
    </xf>
    <xf numFmtId="0" fontId="0" fillId="0" borderId="26" xfId="0" applyBorder="1"/>
    <xf numFmtId="9" fontId="0" fillId="0" borderId="58" xfId="0" applyNumberFormat="1" applyBorder="1"/>
    <xf numFmtId="9" fontId="1" fillId="0" borderId="17" xfId="0" applyNumberFormat="1" applyFont="1" applyBorder="1"/>
    <xf numFmtId="3" fontId="0" fillId="0" borderId="59" xfId="0" applyNumberFormat="1" applyBorder="1"/>
    <xf numFmtId="3" fontId="0" fillId="24" borderId="0" xfId="0" applyNumberFormat="1" applyFont="1" applyFill="1"/>
    <xf numFmtId="0" fontId="0" fillId="24" borderId="0" xfId="0" applyFill="1"/>
    <xf numFmtId="9" fontId="0" fillId="24" borderId="14" xfId="0" applyNumberFormat="1" applyFill="1" applyBorder="1"/>
    <xf numFmtId="9" fontId="0" fillId="24" borderId="0" xfId="0" applyNumberFormat="1" applyFill="1" applyAlignment="1">
      <alignment horizontal="right"/>
    </xf>
    <xf numFmtId="3" fontId="1" fillId="24" borderId="0" xfId="0" applyNumberFormat="1" applyFont="1" applyFill="1"/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chartsheet" Target="chart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chartsheet" Target="chartsheets/sheet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'h2o calculator'!$M$52:$M$57</c:f>
              <c:strCache>
                <c:ptCount val="6"/>
                <c:pt idx="0">
                  <c:v>Metered water usage</c:v>
                </c:pt>
                <c:pt idx="1">
                  <c:v>Rainfall from sky utilized by plants</c:v>
                </c:pt>
                <c:pt idx="2">
                  <c:v>Run-on utilized by plants</c:v>
                </c:pt>
                <c:pt idx="3">
                  <c:v>Effective greywater reuse</c:v>
                </c:pt>
                <c:pt idx="4">
                  <c:v>Indoor rainwater use</c:v>
                </c:pt>
                <c:pt idx="5">
                  <c:v>Outdoor rainwater use from tanks</c:v>
                </c:pt>
              </c:strCache>
            </c:strRef>
          </c:cat>
          <c:val>
            <c:numRef>
              <c:f>'h2o calculator'!$N$52:$N$57</c:f>
              <c:numCache>
                <c:formatCode>#,##0</c:formatCode>
                <c:ptCount val="6"/>
                <c:pt idx="0">
                  <c:v>106560.0</c:v>
                </c:pt>
                <c:pt idx="1">
                  <c:v>13429.665</c:v>
                </c:pt>
                <c:pt idx="2">
                  <c:v>740.619</c:v>
                </c:pt>
                <c:pt idx="3">
                  <c:v>480.1680000000001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'h2o calculator'!$M$52:$M$57</c:f>
              <c:strCache>
                <c:ptCount val="6"/>
                <c:pt idx="0">
                  <c:v>Metered water usage</c:v>
                </c:pt>
                <c:pt idx="1">
                  <c:v>Rainfall from sky utilized by plants</c:v>
                </c:pt>
                <c:pt idx="2">
                  <c:v>Run-on utilized by plants</c:v>
                </c:pt>
                <c:pt idx="3">
                  <c:v>Effective greywater reuse</c:v>
                </c:pt>
                <c:pt idx="4">
                  <c:v>Indoor rainwater use</c:v>
                </c:pt>
                <c:pt idx="5">
                  <c:v>Outdoor rainwater use from tanks</c:v>
                </c:pt>
              </c:strCache>
            </c:strRef>
          </c:cat>
          <c:val>
            <c:numRef>
              <c:f>'h2o calculator'!$P$52:$P$57</c:f>
              <c:numCache>
                <c:formatCode>#,##0</c:formatCode>
                <c:ptCount val="6"/>
                <c:pt idx="0">
                  <c:v>105098.736</c:v>
                </c:pt>
                <c:pt idx="1">
                  <c:v>27328.05</c:v>
                </c:pt>
                <c:pt idx="2">
                  <c:v>11109.285</c:v>
                </c:pt>
                <c:pt idx="3">
                  <c:v>8298.887999999999</c:v>
                </c:pt>
                <c:pt idx="4">
                  <c:v>3862.115506849315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863608"/>
        <c:axId val="2108866584"/>
      </c:barChart>
      <c:catAx>
        <c:axId val="21088636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108866584"/>
        <c:crosses val="autoZero"/>
        <c:auto val="1"/>
        <c:lblAlgn val="ctr"/>
        <c:lblOffset val="100"/>
        <c:noMultiLvlLbl val="0"/>
      </c:catAx>
      <c:valAx>
        <c:axId val="2108866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8863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8080187748119"/>
          <c:y val="0.174655457432462"/>
          <c:w val="0.134141863882614"/>
          <c:h val="0.11095532257362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Meter Read History  &amp; Estimate of Indoor Use</a:t>
            </a:r>
            <a:endParaRPr lang="en-US"/>
          </a:p>
        </c:rich>
      </c:tx>
      <c:layout>
        <c:manualLayout>
          <c:xMode val="edge"/>
          <c:yMode val="edge"/>
          <c:x val="0.20895827794253"/>
          <c:y val="0.0717391304347826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'h2o bill-SAMPLE'!$B$8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bill-SAMPLE'!$B$9:$B$20</c:f>
              <c:numCache>
                <c:formatCode>General</c:formatCode>
                <c:ptCount val="12"/>
                <c:pt idx="0">
                  <c:v>5.0</c:v>
                </c:pt>
                <c:pt idx="1">
                  <c:v>9.0</c:v>
                </c:pt>
                <c:pt idx="2">
                  <c:v>7.0</c:v>
                </c:pt>
                <c:pt idx="3">
                  <c:v>8.0</c:v>
                </c:pt>
                <c:pt idx="4">
                  <c:v>12.0</c:v>
                </c:pt>
                <c:pt idx="5">
                  <c:v>11.0</c:v>
                </c:pt>
                <c:pt idx="6">
                  <c:v>15.0</c:v>
                </c:pt>
                <c:pt idx="7">
                  <c:v>11.0</c:v>
                </c:pt>
                <c:pt idx="8">
                  <c:v>16.0</c:v>
                </c:pt>
                <c:pt idx="9">
                  <c:v>9.0</c:v>
                </c:pt>
                <c:pt idx="10">
                  <c:v>9.0</c:v>
                </c:pt>
                <c:pt idx="11">
                  <c:v>8.0</c:v>
                </c:pt>
              </c:numCache>
            </c:numRef>
          </c:val>
        </c:ser>
        <c:ser>
          <c:idx val="1"/>
          <c:order val="1"/>
          <c:tx>
            <c:strRef>
              <c:f>'h2o bill-SAMPLE'!$C$8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bill-SAMPLE'!$C$9:$C$20</c:f>
              <c:numCache>
                <c:formatCode>General</c:formatCode>
                <c:ptCount val="12"/>
                <c:pt idx="0">
                  <c:v>8.0</c:v>
                </c:pt>
                <c:pt idx="1">
                  <c:v>7.0</c:v>
                </c:pt>
                <c:pt idx="2">
                  <c:v>4.0</c:v>
                </c:pt>
                <c:pt idx="3">
                  <c:v>9.0</c:v>
                </c:pt>
                <c:pt idx="4">
                  <c:v>13.0</c:v>
                </c:pt>
                <c:pt idx="5">
                  <c:v>29.0</c:v>
                </c:pt>
                <c:pt idx="6">
                  <c:v>16.0</c:v>
                </c:pt>
                <c:pt idx="7">
                  <c:v>17.0</c:v>
                </c:pt>
                <c:pt idx="8">
                  <c:v>11.0</c:v>
                </c:pt>
                <c:pt idx="9">
                  <c:v>17.0</c:v>
                </c:pt>
                <c:pt idx="10">
                  <c:v>17.0</c:v>
                </c:pt>
                <c:pt idx="11">
                  <c:v>7.0</c:v>
                </c:pt>
              </c:numCache>
            </c:numRef>
          </c:val>
        </c:ser>
        <c:ser>
          <c:idx val="2"/>
          <c:order val="2"/>
          <c:tx>
            <c:strRef>
              <c:f>'h2o bill-SAMPLE'!$D$8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bill-SAMPLE'!$D$9:$D$20</c:f>
              <c:numCache>
                <c:formatCode>General</c:formatCode>
                <c:ptCount val="12"/>
                <c:pt idx="0">
                  <c:v>10.0</c:v>
                </c:pt>
                <c:pt idx="1">
                  <c:v>7.0</c:v>
                </c:pt>
                <c:pt idx="2">
                  <c:v>6.0</c:v>
                </c:pt>
                <c:pt idx="3">
                  <c:v>12.0</c:v>
                </c:pt>
                <c:pt idx="4">
                  <c:v>15.0</c:v>
                </c:pt>
                <c:pt idx="5">
                  <c:v>14.0</c:v>
                </c:pt>
                <c:pt idx="6">
                  <c:v>12.0</c:v>
                </c:pt>
                <c:pt idx="7">
                  <c:v>16.0</c:v>
                </c:pt>
                <c:pt idx="8">
                  <c:v>12.0</c:v>
                </c:pt>
                <c:pt idx="9">
                  <c:v>8.0</c:v>
                </c:pt>
                <c:pt idx="10">
                  <c:v>4.0</c:v>
                </c:pt>
                <c:pt idx="11">
                  <c:v>3.0</c:v>
                </c:pt>
              </c:numCache>
            </c:numRef>
          </c:val>
        </c:ser>
        <c:ser>
          <c:idx val="3"/>
          <c:order val="3"/>
          <c:tx>
            <c:strRef>
              <c:f>'h2o bill-SAMPLE'!$E$8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bill-SAMPLE'!$E$9:$E$20</c:f>
              <c:numCache>
                <c:formatCode>General</c:formatCode>
                <c:ptCount val="12"/>
                <c:pt idx="0">
                  <c:v>4.0</c:v>
                </c:pt>
                <c:pt idx="1">
                  <c:v>4.0</c:v>
                </c:pt>
                <c:pt idx="2">
                  <c:v>3.0</c:v>
                </c:pt>
                <c:pt idx="3">
                  <c:v>9.0</c:v>
                </c:pt>
                <c:pt idx="4">
                  <c:v>13.0</c:v>
                </c:pt>
                <c:pt idx="5">
                  <c:v>6.0</c:v>
                </c:pt>
                <c:pt idx="6">
                  <c:v>16.0</c:v>
                </c:pt>
                <c:pt idx="7">
                  <c:v>10.0</c:v>
                </c:pt>
                <c:pt idx="8">
                  <c:v>10.0</c:v>
                </c:pt>
                <c:pt idx="9">
                  <c:v>19.0</c:v>
                </c:pt>
                <c:pt idx="10">
                  <c:v>16.0</c:v>
                </c:pt>
                <c:pt idx="11">
                  <c:v>11.0</c:v>
                </c:pt>
              </c:numCache>
            </c:numRef>
          </c:val>
        </c:ser>
        <c:ser>
          <c:idx val="4"/>
          <c:order val="4"/>
          <c:tx>
            <c:strRef>
              <c:f>'h2o bill-SAMPLE'!$F$8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bill-SAMPLE'!$F$9:$F$20</c:f>
              <c:numCache>
                <c:formatCode>General</c:formatCode>
                <c:ptCount val="12"/>
                <c:pt idx="0">
                  <c:v>36.0</c:v>
                </c:pt>
                <c:pt idx="1">
                  <c:v>6.0</c:v>
                </c:pt>
                <c:pt idx="2">
                  <c:v>14.0</c:v>
                </c:pt>
                <c:pt idx="3">
                  <c:v>28.0</c:v>
                </c:pt>
                <c:pt idx="4">
                  <c:v>16.0</c:v>
                </c:pt>
                <c:pt idx="5">
                  <c:v>28.0</c:v>
                </c:pt>
                <c:pt idx="6">
                  <c:v>12.0</c:v>
                </c:pt>
                <c:pt idx="7">
                  <c:v>14.0</c:v>
                </c:pt>
                <c:pt idx="8">
                  <c:v>19.0</c:v>
                </c:pt>
                <c:pt idx="9">
                  <c:v>7.0</c:v>
                </c:pt>
                <c:pt idx="10">
                  <c:v>5.0</c:v>
                </c:pt>
                <c:pt idx="11">
                  <c:v>4.0</c:v>
                </c:pt>
              </c:numCache>
            </c:numRef>
          </c:val>
        </c:ser>
        <c:ser>
          <c:idx val="5"/>
          <c:order val="5"/>
          <c:tx>
            <c:strRef>
              <c:f>'h2o bill-SAMPLE'!$G$8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bill-SAMPLE'!$G$9:$G$20</c:f>
              <c:numCache>
                <c:formatCode>General</c:formatCode>
                <c:ptCount val="12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10.0</c:v>
                </c:pt>
                <c:pt idx="5">
                  <c:v>12.0</c:v>
                </c:pt>
                <c:pt idx="6">
                  <c:v>30.0</c:v>
                </c:pt>
                <c:pt idx="7">
                  <c:v>20.0</c:v>
                </c:pt>
                <c:pt idx="8">
                  <c:v>9.0</c:v>
                </c:pt>
                <c:pt idx="9">
                  <c:v>4.0</c:v>
                </c:pt>
                <c:pt idx="10">
                  <c:v>4.0</c:v>
                </c:pt>
                <c:pt idx="11">
                  <c:v>3.0</c:v>
                </c:pt>
              </c:numCache>
            </c:numRef>
          </c:val>
        </c:ser>
        <c:ser>
          <c:idx val="6"/>
          <c:order val="6"/>
          <c:tx>
            <c:strRef>
              <c:f>'h2o bill-SAMPLE'!$H$8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bill-SAMPLE'!$H$9:$H$20</c:f>
              <c:numCache>
                <c:formatCode>General</c:formatCode>
                <c:ptCount val="12"/>
                <c:pt idx="0">
                  <c:v>7.0</c:v>
                </c:pt>
                <c:pt idx="1">
                  <c:v>4.0</c:v>
                </c:pt>
                <c:pt idx="2">
                  <c:v>5.0</c:v>
                </c:pt>
                <c:pt idx="3">
                  <c:v>3.0</c:v>
                </c:pt>
                <c:pt idx="4">
                  <c:v>6.0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6.0</c:v>
                </c:pt>
                <c:pt idx="9">
                  <c:v>6.0</c:v>
                </c:pt>
                <c:pt idx="10">
                  <c:v>4.0</c:v>
                </c:pt>
                <c:pt idx="11">
                  <c:v>3.0</c:v>
                </c:pt>
              </c:numCache>
            </c:numRef>
          </c:val>
        </c:ser>
        <c:ser>
          <c:idx val="7"/>
          <c:order val="7"/>
          <c:tx>
            <c:strRef>
              <c:f>'h2o bill-SAMPLE'!$J$8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bill-SAMPLE'!$J$9:$J$20</c:f>
              <c:numCache>
                <c:formatCode>General</c:formatCode>
                <c:ptCount val="12"/>
                <c:pt idx="0">
                  <c:v>6.0</c:v>
                </c:pt>
                <c:pt idx="1">
                  <c:v>8.0</c:v>
                </c:pt>
                <c:pt idx="2">
                  <c:v>3.0</c:v>
                </c:pt>
                <c:pt idx="3">
                  <c:v>15.0</c:v>
                </c:pt>
                <c:pt idx="4">
                  <c:v>6.0</c:v>
                </c:pt>
                <c:pt idx="5">
                  <c:v>6.0</c:v>
                </c:pt>
                <c:pt idx="6">
                  <c:v>8.0</c:v>
                </c:pt>
                <c:pt idx="7">
                  <c:v>7.0</c:v>
                </c:pt>
                <c:pt idx="8">
                  <c:v>5.0</c:v>
                </c:pt>
              </c:numCache>
            </c:numRef>
          </c:val>
        </c:ser>
        <c:ser>
          <c:idx val="8"/>
          <c:order val="8"/>
          <c:tx>
            <c:strRef>
              <c:f>'h2o bill-SAMPLE'!$K$8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bill-SAMPLE'!$K$9:$K$20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539128"/>
        <c:axId val="2081542168"/>
      </c:barChart>
      <c:lineChart>
        <c:grouping val="standard"/>
        <c:varyColors val="0"/>
        <c:ser>
          <c:idx val="9"/>
          <c:order val="9"/>
          <c:tx>
            <c:strRef>
              <c:f>'h2o bill-SAMPLE'!$L$8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cat>
            <c:strRef>
              <c:f>'h2o bill-SAMPLE'!$A$9:$A$20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bill-SAMPLE'!$L$9:$L$20</c:f>
              <c:numCache>
                <c:formatCode>0.0</c:formatCode>
                <c:ptCount val="12"/>
                <c:pt idx="0">
                  <c:v>9.222222222222221</c:v>
                </c:pt>
                <c:pt idx="1">
                  <c:v>5.888888888888889</c:v>
                </c:pt>
                <c:pt idx="2">
                  <c:v>6.0</c:v>
                </c:pt>
                <c:pt idx="3">
                  <c:v>10.66666666666667</c:v>
                </c:pt>
                <c:pt idx="4">
                  <c:v>10.88888888888889</c:v>
                </c:pt>
                <c:pt idx="5">
                  <c:v>15.0</c:v>
                </c:pt>
                <c:pt idx="6">
                  <c:v>14.44444444444444</c:v>
                </c:pt>
                <c:pt idx="7">
                  <c:v>12.22222222222222</c:v>
                </c:pt>
                <c:pt idx="8">
                  <c:v>10.77777777777778</c:v>
                </c:pt>
                <c:pt idx="9">
                  <c:v>10.5</c:v>
                </c:pt>
                <c:pt idx="10">
                  <c:v>8.25</c:v>
                </c:pt>
                <c:pt idx="11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39128"/>
        <c:axId val="2081542168"/>
      </c:lineChart>
      <c:catAx>
        <c:axId val="208153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1542168"/>
        <c:crosses val="autoZero"/>
        <c:auto val="1"/>
        <c:lblAlgn val="ctr"/>
        <c:lblOffset val="100"/>
        <c:noMultiLvlLbl val="0"/>
      </c:catAx>
      <c:valAx>
        <c:axId val="2081542168"/>
        <c:scaling>
          <c:orientation val="minMax"/>
        </c:scaling>
        <c:delete val="0"/>
        <c:axPos val="l"/>
        <c:majorGridlines/>
        <c:minorGridlines>
          <c:spPr>
            <a:ln w="254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Mothly</a:t>
                </a:r>
                <a:r>
                  <a:rPr lang="en-US" baseline="0"/>
                  <a:t> consumption (hcf)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1539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'h2o bill-SAMPLE'!$A$21</c:f>
              <c:strCache>
                <c:ptCount val="1"/>
                <c:pt idx="0">
                  <c:v>Annual consumption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'h2o bill-SAMPLE'!$B$8:$K$8</c:f>
              <c:numCache>
                <c:formatCode>General</c:formatCode>
                <c:ptCount val="10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</c:numCache>
            </c:numRef>
          </c:cat>
          <c:val>
            <c:numRef>
              <c:f>'h2o bill-SAMPLE'!$B$21:$K$21</c:f>
              <c:numCache>
                <c:formatCode>0</c:formatCode>
                <c:ptCount val="10"/>
                <c:pt idx="0">
                  <c:v>120.0</c:v>
                </c:pt>
                <c:pt idx="1">
                  <c:v>155.0</c:v>
                </c:pt>
                <c:pt idx="2">
                  <c:v>119.0</c:v>
                </c:pt>
                <c:pt idx="3">
                  <c:v>121.0</c:v>
                </c:pt>
                <c:pt idx="4">
                  <c:v>189.0</c:v>
                </c:pt>
                <c:pt idx="5">
                  <c:v>114.0</c:v>
                </c:pt>
                <c:pt idx="6">
                  <c:v>74.0</c:v>
                </c:pt>
                <c:pt idx="7">
                  <c:v>94.0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764680"/>
        <c:axId val="2112750904"/>
      </c:lineChart>
      <c:catAx>
        <c:axId val="211276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750904"/>
        <c:crosses val="autoZero"/>
        <c:auto val="1"/>
        <c:lblAlgn val="ctr"/>
        <c:lblOffset val="100"/>
        <c:noMultiLvlLbl val="0"/>
      </c:catAx>
      <c:valAx>
        <c:axId val="2112750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</a:t>
                </a:r>
                <a:r>
                  <a:rPr lang="en-US" baseline="0"/>
                  <a:t> consumption (HCF)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112764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Meter Read History  &amp; Estimate of Indoor Use</a:t>
            </a:r>
            <a:endParaRPr lang="en-US"/>
          </a:p>
        </c:rich>
      </c:tx>
      <c:layout>
        <c:manualLayout>
          <c:xMode val="edge"/>
          <c:yMode val="edge"/>
          <c:x val="0.20895827794253"/>
          <c:y val="0.0717391304347826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'h2o bill-YOURS'!$B$8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bill-YOURS'!$B$9:$B$20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'h2o bill-YOURS'!$C$8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bill-YOURS'!$C$9:$C$20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'h2o bill-YOURS'!$D$8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bill-YOURS'!$D$9:$D$20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'h2o bill-YOURS'!$E$8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bill-YOURS'!$E$9:$E$20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'h2o bill-YOURS'!$F$8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bill-YOURS'!$F$9:$F$20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'h2o bill-YOURS'!$G$8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bill-YOURS'!$G$9:$G$20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'h2o bill-YOURS'!$H$8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bill-YOURS'!$H$9:$H$20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'h2o bill-YOURS'!$J$8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bill-YOURS'!$J$9:$J$20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'h2o bill-YOURS'!$K$8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bill-YOURS'!$K$9:$K$20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692472"/>
        <c:axId val="2109695512"/>
      </c:barChart>
      <c:lineChart>
        <c:grouping val="standard"/>
        <c:varyColors val="0"/>
        <c:ser>
          <c:idx val="9"/>
          <c:order val="9"/>
          <c:tx>
            <c:strRef>
              <c:f>'h2o bill-YOURS'!$L$8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cat>
            <c:strRef>
              <c:f>'h2o bill-YOURS'!$A$9:$A$20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'h2o bill-YOURS'!$L$9:$L$20</c:f>
              <c:numCache>
                <c:formatCode>0.0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692472"/>
        <c:axId val="2109695512"/>
      </c:lineChart>
      <c:catAx>
        <c:axId val="210969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9695512"/>
        <c:crosses val="autoZero"/>
        <c:auto val="1"/>
        <c:lblAlgn val="ctr"/>
        <c:lblOffset val="100"/>
        <c:noMultiLvlLbl val="0"/>
      </c:catAx>
      <c:valAx>
        <c:axId val="2109695512"/>
        <c:scaling>
          <c:orientation val="minMax"/>
        </c:scaling>
        <c:delete val="0"/>
        <c:axPos val="l"/>
        <c:majorGridlines/>
        <c:minorGridlines>
          <c:spPr>
            <a:ln w="254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Mothly</a:t>
                </a:r>
                <a:r>
                  <a:rPr lang="en-US" baseline="0"/>
                  <a:t> consumption (hcf)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9692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'h2o bill-YOURS'!$A$21</c:f>
              <c:strCache>
                <c:ptCount val="1"/>
                <c:pt idx="0">
                  <c:v>Annual consumption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'h2o bill-YOURS'!$B$8:$K$8</c:f>
              <c:numCache>
                <c:formatCode>General</c:formatCode>
                <c:ptCount val="10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</c:numCache>
            </c:numRef>
          </c:cat>
          <c:val>
            <c:numRef>
              <c:f>'h2o bill-YOURS'!$B$21:$K$21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431208"/>
        <c:axId val="2109437736"/>
      </c:lineChart>
      <c:catAx>
        <c:axId val="210943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9437736"/>
        <c:crosses val="autoZero"/>
        <c:auto val="1"/>
        <c:lblAlgn val="ctr"/>
        <c:lblOffset val="100"/>
        <c:noMultiLvlLbl val="0"/>
      </c:catAx>
      <c:valAx>
        <c:axId val="2109437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</a:t>
                </a:r>
                <a:r>
                  <a:rPr lang="en-US" baseline="0"/>
                  <a:t> consumption (HCF)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109431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ChartSRC!$B$4</c:f>
              <c:strCache>
                <c:ptCount val="1"/>
                <c:pt idx="0">
                  <c:v>elevation</c:v>
                </c:pt>
              </c:strCache>
            </c:strRef>
          </c:tx>
          <c:invertIfNegative val="0"/>
          <c:cat>
            <c:strRef>
              <c:f>ChartSRC!$A$5:$A$46</c:f>
              <c:strCache>
                <c:ptCount val="42"/>
                <c:pt idx="0">
                  <c:v>CW-R/O drain water</c:v>
                </c:pt>
                <c:pt idx="1">
                  <c:v>RWR-North downspout-Area A</c:v>
                </c:pt>
                <c:pt idx="2">
                  <c:v>Tank-9 in</c:v>
                </c:pt>
                <c:pt idx="3">
                  <c:v>RWR-West downspout area B and C</c:v>
                </c:pt>
                <c:pt idx="4">
                  <c:v>ROF-NE corner road diversion</c:v>
                </c:pt>
                <c:pt idx="5">
                  <c:v>GW-Kitchen sink</c:v>
                </c:pt>
                <c:pt idx="6">
                  <c:v>Stor-Soil sponge top</c:v>
                </c:pt>
                <c:pt idx="7">
                  <c:v>Tank-9 out: 1100 gal; 86” diameter; 53’  tall</c:v>
                </c:pt>
                <c:pt idx="8">
                  <c:v>Tank-8 in</c:v>
                </c:pt>
                <c:pt idx="9">
                  <c:v>House-main floor</c:v>
                </c:pt>
                <c:pt idx="10">
                  <c:v>GW-Main floor Shower</c:v>
                </c:pt>
                <c:pt idx="11">
                  <c:v>Tank-1 in</c:v>
                </c:pt>
                <c:pt idx="12">
                  <c:v>Tank-2 in</c:v>
                </c:pt>
                <c:pt idx="13">
                  <c:v>Tank-3 in</c:v>
                </c:pt>
                <c:pt idx="14">
                  <c:v>Tank-4 in</c:v>
                </c:pt>
                <c:pt idx="15">
                  <c:v>Tank-5 in</c:v>
                </c:pt>
                <c:pt idx="16">
                  <c:v>Tank-6 in</c:v>
                </c:pt>
                <c:pt idx="17">
                  <c:v>Tank-7 in</c:v>
                </c:pt>
                <c:pt idx="18">
                  <c:v>GW-Laundry</c:v>
                </c:pt>
                <c:pt idx="19">
                  <c:v>ROF-SE corner road diversion</c:v>
                </c:pt>
                <c:pt idx="20">
                  <c:v>House-bottom floor</c:v>
                </c:pt>
                <c:pt idx="21">
                  <c:v>Tank-3 out: 1,550 gallons; 88” diameter; 67’  tall</c:v>
                </c:pt>
                <c:pt idx="22">
                  <c:v>Tank-4 out: 325 gal; 43” diameter; 60’  tall</c:v>
                </c:pt>
                <c:pt idx="23">
                  <c:v>Tank-5 out: 325 gal; 43” diameter; 60’  tall</c:v>
                </c:pt>
                <c:pt idx="24">
                  <c:v>Tank-6 out: 325 gal; 43” diameter; 60’  tall</c:v>
                </c:pt>
                <c:pt idx="25">
                  <c:v>Tank-7out: 325 gal; 43” diameter; 60’  tall</c:v>
                </c:pt>
                <c:pt idx="26">
                  <c:v>Tank-8 out: 5000 gal; 144” diameter; 87’  tall</c:v>
                </c:pt>
                <c:pt idx="27">
                  <c:v>WF-(New feature  by oak patio)</c:v>
                </c:pt>
                <c:pt idx="28">
                  <c:v>RWR-Guest house downspout</c:v>
                </c:pt>
                <c:pt idx="29">
                  <c:v>Tank-1: 1,500 gal 72” diameter; 93” tall; tanks fill and drain as one unit</c:v>
                </c:pt>
                <c:pt idx="30">
                  <c:v>Tank-2: 1,500 gal 72” diameter; 93” tall; tanks fill and drain as one unit</c:v>
                </c:pt>
                <c:pt idx="31">
                  <c:v>IR-Lawn</c:v>
                </c:pt>
                <c:pt idx="32">
                  <c:v>WF-Ex. Recirculating stream top</c:v>
                </c:pt>
                <c:pt idx="33">
                  <c:v>FT-Upper fruit tree 1</c:v>
                </c:pt>
                <c:pt idx="34">
                  <c:v>WF-Ex. Recirculating stream bottom</c:v>
                </c:pt>
                <c:pt idx="35">
                  <c:v>FT-Upper fruit tree 2</c:v>
                </c:pt>
                <c:pt idx="36">
                  <c:v>FT-Lower fruit tree 1</c:v>
                </c:pt>
                <c:pt idx="37">
                  <c:v>FT-Lower fruit tree 2</c:v>
                </c:pt>
                <c:pt idx="38">
                  <c:v>FT-Lower fruit tree 3</c:v>
                </c:pt>
                <c:pt idx="39">
                  <c:v>ROF-NW corner drainage entry</c:v>
                </c:pt>
                <c:pt idx="40">
                  <c:v>ROF-SW Drainage exit</c:v>
                </c:pt>
                <c:pt idx="41">
                  <c:v>Stor-Soil sponge bottom</c:v>
                </c:pt>
              </c:strCache>
            </c:strRef>
          </c:cat>
          <c:val>
            <c:numRef>
              <c:f>ChartSRC!$B$5:$B$46</c:f>
              <c:numCache>
                <c:formatCode>0</c:formatCode>
                <c:ptCount val="42"/>
                <c:pt idx="0">
                  <c:v>235.0</c:v>
                </c:pt>
                <c:pt idx="1">
                  <c:v>232.0</c:v>
                </c:pt>
                <c:pt idx="2">
                  <c:v>230.4166666666667</c:v>
                </c:pt>
                <c:pt idx="3">
                  <c:v>229.0</c:v>
                </c:pt>
                <c:pt idx="4">
                  <c:v>227.0</c:v>
                </c:pt>
                <c:pt idx="5">
                  <c:v>227.0</c:v>
                </c:pt>
                <c:pt idx="6">
                  <c:v>227.0</c:v>
                </c:pt>
                <c:pt idx="7">
                  <c:v>226.0</c:v>
                </c:pt>
                <c:pt idx="8">
                  <c:v>225.25</c:v>
                </c:pt>
                <c:pt idx="9">
                  <c:v>225.0</c:v>
                </c:pt>
                <c:pt idx="10">
                  <c:v>224.0</c:v>
                </c:pt>
                <c:pt idx="11">
                  <c:v>223.75</c:v>
                </c:pt>
                <c:pt idx="12">
                  <c:v>223.75</c:v>
                </c:pt>
                <c:pt idx="13">
                  <c:v>223.5833333333333</c:v>
                </c:pt>
                <c:pt idx="14">
                  <c:v>223.0</c:v>
                </c:pt>
                <c:pt idx="15">
                  <c:v>223.0</c:v>
                </c:pt>
                <c:pt idx="16">
                  <c:v>223.0</c:v>
                </c:pt>
                <c:pt idx="17">
                  <c:v>223.0</c:v>
                </c:pt>
                <c:pt idx="18">
                  <c:v>221.0</c:v>
                </c:pt>
                <c:pt idx="19">
                  <c:v>219.0</c:v>
                </c:pt>
                <c:pt idx="20">
                  <c:v>218.0</c:v>
                </c:pt>
                <c:pt idx="21">
                  <c:v>218.0</c:v>
                </c:pt>
                <c:pt idx="22">
                  <c:v>218.0</c:v>
                </c:pt>
                <c:pt idx="23">
                  <c:v>218.0</c:v>
                </c:pt>
                <c:pt idx="24">
                  <c:v>218.0</c:v>
                </c:pt>
                <c:pt idx="25">
                  <c:v>218.0</c:v>
                </c:pt>
                <c:pt idx="26">
                  <c:v>218.0</c:v>
                </c:pt>
                <c:pt idx="27">
                  <c:v>217.5</c:v>
                </c:pt>
                <c:pt idx="28">
                  <c:v>216.0</c:v>
                </c:pt>
                <c:pt idx="29">
                  <c:v>216.0</c:v>
                </c:pt>
                <c:pt idx="30">
                  <c:v>216.0</c:v>
                </c:pt>
                <c:pt idx="31">
                  <c:v>213.0</c:v>
                </c:pt>
                <c:pt idx="32">
                  <c:v>213.0</c:v>
                </c:pt>
                <c:pt idx="33">
                  <c:v>211.0</c:v>
                </c:pt>
                <c:pt idx="34">
                  <c:v>209.0</c:v>
                </c:pt>
                <c:pt idx="35">
                  <c:v>208.0</c:v>
                </c:pt>
                <c:pt idx="36">
                  <c:v>206.5</c:v>
                </c:pt>
                <c:pt idx="37">
                  <c:v>206.5</c:v>
                </c:pt>
                <c:pt idx="38">
                  <c:v>206.5</c:v>
                </c:pt>
                <c:pt idx="39">
                  <c:v>194.0</c:v>
                </c:pt>
                <c:pt idx="40">
                  <c:v>188.0</c:v>
                </c:pt>
                <c:pt idx="41">
                  <c:v>188.0</c:v>
                </c:pt>
              </c:numCache>
            </c:numRef>
          </c:val>
        </c:ser>
        <c:ser>
          <c:idx val="1"/>
          <c:order val="1"/>
          <c:tx>
            <c:strRef>
              <c:f>ChartSRC!$C$4</c:f>
              <c:strCache>
                <c:ptCount val="1"/>
                <c:pt idx="0">
                  <c:v>Flow/Capacity-m3, m3/yr</c:v>
                </c:pt>
              </c:strCache>
            </c:strRef>
          </c:tx>
          <c:invertIfNegative val="0"/>
          <c:cat>
            <c:strRef>
              <c:f>ChartSRC!$A$5:$A$46</c:f>
              <c:strCache>
                <c:ptCount val="42"/>
                <c:pt idx="0">
                  <c:v>CW-R/O drain water</c:v>
                </c:pt>
                <c:pt idx="1">
                  <c:v>RWR-North downspout-Area A</c:v>
                </c:pt>
                <c:pt idx="2">
                  <c:v>Tank-9 in</c:v>
                </c:pt>
                <c:pt idx="3">
                  <c:v>RWR-West downspout area B and C</c:v>
                </c:pt>
                <c:pt idx="4">
                  <c:v>ROF-NE corner road diversion</c:v>
                </c:pt>
                <c:pt idx="5">
                  <c:v>GW-Kitchen sink</c:v>
                </c:pt>
                <c:pt idx="6">
                  <c:v>Stor-Soil sponge top</c:v>
                </c:pt>
                <c:pt idx="7">
                  <c:v>Tank-9 out: 1100 gal; 86” diameter; 53’  tall</c:v>
                </c:pt>
                <c:pt idx="8">
                  <c:v>Tank-8 in</c:v>
                </c:pt>
                <c:pt idx="9">
                  <c:v>House-main floor</c:v>
                </c:pt>
                <c:pt idx="10">
                  <c:v>GW-Main floor Shower</c:v>
                </c:pt>
                <c:pt idx="11">
                  <c:v>Tank-1 in</c:v>
                </c:pt>
                <c:pt idx="12">
                  <c:v>Tank-2 in</c:v>
                </c:pt>
                <c:pt idx="13">
                  <c:v>Tank-3 in</c:v>
                </c:pt>
                <c:pt idx="14">
                  <c:v>Tank-4 in</c:v>
                </c:pt>
                <c:pt idx="15">
                  <c:v>Tank-5 in</c:v>
                </c:pt>
                <c:pt idx="16">
                  <c:v>Tank-6 in</c:v>
                </c:pt>
                <c:pt idx="17">
                  <c:v>Tank-7 in</c:v>
                </c:pt>
                <c:pt idx="18">
                  <c:v>GW-Laundry</c:v>
                </c:pt>
                <c:pt idx="19">
                  <c:v>ROF-SE corner road diversion</c:v>
                </c:pt>
                <c:pt idx="20">
                  <c:v>House-bottom floor</c:v>
                </c:pt>
                <c:pt idx="21">
                  <c:v>Tank-3 out: 1,550 gallons; 88” diameter; 67’  tall</c:v>
                </c:pt>
                <c:pt idx="22">
                  <c:v>Tank-4 out: 325 gal; 43” diameter; 60’  tall</c:v>
                </c:pt>
                <c:pt idx="23">
                  <c:v>Tank-5 out: 325 gal; 43” diameter; 60’  tall</c:v>
                </c:pt>
                <c:pt idx="24">
                  <c:v>Tank-6 out: 325 gal; 43” diameter; 60’  tall</c:v>
                </c:pt>
                <c:pt idx="25">
                  <c:v>Tank-7out: 325 gal; 43” diameter; 60’  tall</c:v>
                </c:pt>
                <c:pt idx="26">
                  <c:v>Tank-8 out: 5000 gal; 144” diameter; 87’  tall</c:v>
                </c:pt>
                <c:pt idx="27">
                  <c:v>WF-(New feature  by oak patio)</c:v>
                </c:pt>
                <c:pt idx="28">
                  <c:v>RWR-Guest house downspout</c:v>
                </c:pt>
                <c:pt idx="29">
                  <c:v>Tank-1: 1,500 gal 72” diameter; 93” tall; tanks fill and drain as one unit</c:v>
                </c:pt>
                <c:pt idx="30">
                  <c:v>Tank-2: 1,500 gal 72” diameter; 93” tall; tanks fill and drain as one unit</c:v>
                </c:pt>
                <c:pt idx="31">
                  <c:v>IR-Lawn</c:v>
                </c:pt>
                <c:pt idx="32">
                  <c:v>WF-Ex. Recirculating stream top</c:v>
                </c:pt>
                <c:pt idx="33">
                  <c:v>FT-Upper fruit tree 1</c:v>
                </c:pt>
                <c:pt idx="34">
                  <c:v>WF-Ex. Recirculating stream bottom</c:v>
                </c:pt>
                <c:pt idx="35">
                  <c:v>FT-Upper fruit tree 2</c:v>
                </c:pt>
                <c:pt idx="36">
                  <c:v>FT-Lower fruit tree 1</c:v>
                </c:pt>
                <c:pt idx="37">
                  <c:v>FT-Lower fruit tree 2</c:v>
                </c:pt>
                <c:pt idx="38">
                  <c:v>FT-Lower fruit tree 3</c:v>
                </c:pt>
                <c:pt idx="39">
                  <c:v>ROF-NW corner drainage entry</c:v>
                </c:pt>
                <c:pt idx="40">
                  <c:v>ROF-SW Drainage exit</c:v>
                </c:pt>
                <c:pt idx="41">
                  <c:v>Stor-Soil sponge bottom</c:v>
                </c:pt>
              </c:strCache>
            </c:strRef>
          </c:cat>
          <c:val>
            <c:numRef>
              <c:f>ChartSRC!$C$5:$C$46</c:f>
              <c:numCache>
                <c:formatCode>0</c:formatCode>
                <c:ptCount val="42"/>
                <c:pt idx="0">
                  <c:v>8.76</c:v>
                </c:pt>
                <c:pt idx="1">
                  <c:v>73.88888888888889</c:v>
                </c:pt>
                <c:pt idx="3">
                  <c:v>114.7222222222222</c:v>
                </c:pt>
                <c:pt idx="4">
                  <c:v>125.55</c:v>
                </c:pt>
                <c:pt idx="5">
                  <c:v>32.85</c:v>
                </c:pt>
                <c:pt idx="6">
                  <c:v>74.36260623229462</c:v>
                </c:pt>
                <c:pt idx="7">
                  <c:v>4.166666666666667</c:v>
                </c:pt>
                <c:pt idx="10">
                  <c:v>46.8</c:v>
                </c:pt>
                <c:pt idx="18">
                  <c:v>54.6</c:v>
                </c:pt>
                <c:pt idx="21">
                  <c:v>5.87121212121212</c:v>
                </c:pt>
                <c:pt idx="22">
                  <c:v>1.231060606060606</c:v>
                </c:pt>
                <c:pt idx="23">
                  <c:v>1.231060606060606</c:v>
                </c:pt>
                <c:pt idx="24">
                  <c:v>1.231060606060606</c:v>
                </c:pt>
                <c:pt idx="25">
                  <c:v>1.231060606060606</c:v>
                </c:pt>
                <c:pt idx="26">
                  <c:v>18.93939393939394</c:v>
                </c:pt>
                <c:pt idx="28">
                  <c:v>51.85185185185185</c:v>
                </c:pt>
                <c:pt idx="29">
                  <c:v>5.681818181818181</c:v>
                </c:pt>
                <c:pt idx="30">
                  <c:v>5.681818181818181</c:v>
                </c:pt>
                <c:pt idx="39">
                  <c:v>0.0</c:v>
                </c:pt>
                <c:pt idx="41">
                  <c:v>74.36260623229462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2211768"/>
        <c:axId val="2112214808"/>
      </c:barChart>
      <c:catAx>
        <c:axId val="211221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214808"/>
        <c:crosses val="autoZero"/>
        <c:auto val="1"/>
        <c:lblAlgn val="ctr"/>
        <c:lblOffset val="100"/>
        <c:noMultiLvlLbl val="0"/>
      </c:catAx>
      <c:valAx>
        <c:axId val="2112214808"/>
        <c:scaling>
          <c:orientation val="minMax"/>
          <c:max val="360.0"/>
          <c:min val="18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2211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2"/>
              <c:layout>
                <c:manualLayout>
                  <c:x val="0.147281443765629"/>
                  <c:y val="0.0225563963190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'h2o calculator'!$M$52:$M$57</c:f>
              <c:strCache>
                <c:ptCount val="6"/>
                <c:pt idx="0">
                  <c:v>Metered water usage</c:v>
                </c:pt>
                <c:pt idx="1">
                  <c:v>Rainfall from sky utilized by plants</c:v>
                </c:pt>
                <c:pt idx="2">
                  <c:v>Run-on utilized by plants</c:v>
                </c:pt>
                <c:pt idx="3">
                  <c:v>Effective greywater reuse</c:v>
                </c:pt>
                <c:pt idx="4">
                  <c:v>Indoor rainwater use</c:v>
                </c:pt>
                <c:pt idx="5">
                  <c:v>Outdoor rainwater use from tanks</c:v>
                </c:pt>
              </c:strCache>
            </c:strRef>
          </c:cat>
          <c:val>
            <c:numRef>
              <c:f>'h2o calculator'!$N$52:$N$57</c:f>
              <c:numCache>
                <c:formatCode>#,##0</c:formatCode>
                <c:ptCount val="6"/>
                <c:pt idx="0">
                  <c:v>106560.0</c:v>
                </c:pt>
                <c:pt idx="1">
                  <c:v>13429.665</c:v>
                </c:pt>
                <c:pt idx="2">
                  <c:v>740.619</c:v>
                </c:pt>
                <c:pt idx="3">
                  <c:v>480.1680000000001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'h2o calculator'!$O$52:$O$57</c:f>
              <c:strCache>
                <c:ptCount val="6"/>
                <c:pt idx="0">
                  <c:v>Metered water usage</c:v>
                </c:pt>
                <c:pt idx="1">
                  <c:v>Rainfall from sky utilized by plants</c:v>
                </c:pt>
                <c:pt idx="2">
                  <c:v>Run-on utilized by plants</c:v>
                </c:pt>
                <c:pt idx="3">
                  <c:v>Effective greywater reuse</c:v>
                </c:pt>
                <c:pt idx="4">
                  <c:v>Indoor rainwater use</c:v>
                </c:pt>
                <c:pt idx="5">
                  <c:v>Outdoor rainwater use from tanks</c:v>
                </c:pt>
              </c:strCache>
            </c:strRef>
          </c:cat>
          <c:val>
            <c:numRef>
              <c:f>'h2o calculator'!$P$52:$P$57</c:f>
              <c:numCache>
                <c:formatCode>#,##0</c:formatCode>
                <c:ptCount val="6"/>
                <c:pt idx="0">
                  <c:v>105098.736</c:v>
                </c:pt>
                <c:pt idx="1">
                  <c:v>27328.05</c:v>
                </c:pt>
                <c:pt idx="2">
                  <c:v>11109.285</c:v>
                </c:pt>
                <c:pt idx="3">
                  <c:v>8298.887999999999</c:v>
                </c:pt>
                <c:pt idx="4">
                  <c:v>3862.115506849315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Numbers</a:t>
            </a:r>
            <a:r>
              <a:rPr lang="en-US" baseline="0"/>
              <a:t> -Before/ After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'h2o calculator'!$N$3</c:f>
              <c:strCache>
                <c:ptCount val="1"/>
                <c:pt idx="0">
                  <c:v>Before (gpy)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'h2o calculator'!$M$10:$M$25</c:f>
              <c:strCache>
                <c:ptCount val="16"/>
                <c:pt idx="0">
                  <c:v>Effective greywater reuse</c:v>
                </c:pt>
                <c:pt idx="1">
                  <c:v>#REF!</c:v>
                </c:pt>
                <c:pt idx="2">
                  <c:v>Indoor rainwater use</c:v>
                </c:pt>
                <c:pt idx="3">
                  <c:v>Outdoor rainwater use from tanks</c:v>
                </c:pt>
                <c:pt idx="5">
                  <c:v>Estimated indoor usage</c:v>
                </c:pt>
                <c:pt idx="6">
                  <c:v>Indoor metered water use</c:v>
                </c:pt>
                <c:pt idx="7">
                  <c:v>Lawn replacement</c:v>
                </c:pt>
                <c:pt idx="8">
                  <c:v>Metered water usage</c:v>
                </c:pt>
                <c:pt idx="9">
                  <c:v>Outdoor metered water use</c:v>
                </c:pt>
                <c:pt idx="10">
                  <c:v>increase in infiltration</c:v>
                </c:pt>
                <c:pt idx="11">
                  <c:v>decrease in runoff</c:v>
                </c:pt>
                <c:pt idx="14">
                  <c:v>Produce from site eaten</c:v>
                </c:pt>
                <c:pt idx="15">
                  <c:v>Water related carbon emissions</c:v>
                </c:pt>
              </c:strCache>
            </c:strRef>
          </c:cat>
          <c:val>
            <c:numRef>
              <c:f>'h2o calculator'!$N$10:$N$25</c:f>
              <c:numCache>
                <c:formatCode>#,##0</c:formatCode>
                <c:ptCount val="16"/>
                <c:pt idx="0">
                  <c:v>480.1680000000001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5">
                  <c:v>36.54246575342466</c:v>
                </c:pt>
                <c:pt idx="6">
                  <c:v>53352.0</c:v>
                </c:pt>
                <c:pt idx="7">
                  <c:v>18552.88</c:v>
                </c:pt>
                <c:pt idx="8">
                  <c:v>106560.0</c:v>
                </c:pt>
                <c:pt idx="9">
                  <c:v>53208.00000000002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'h2o calculator'!$O$3</c:f>
              <c:strCache>
                <c:ptCount val="1"/>
                <c:pt idx="0">
                  <c:v>After (gpy)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FF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FF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'h2o calculator'!$M$10:$M$25</c:f>
              <c:strCache>
                <c:ptCount val="16"/>
                <c:pt idx="0">
                  <c:v>Effective greywater reuse</c:v>
                </c:pt>
                <c:pt idx="1">
                  <c:v>#REF!</c:v>
                </c:pt>
                <c:pt idx="2">
                  <c:v>Indoor rainwater use</c:v>
                </c:pt>
                <c:pt idx="3">
                  <c:v>Outdoor rainwater use from tanks</c:v>
                </c:pt>
                <c:pt idx="5">
                  <c:v>Estimated indoor usage</c:v>
                </c:pt>
                <c:pt idx="6">
                  <c:v>Indoor metered water use</c:v>
                </c:pt>
                <c:pt idx="7">
                  <c:v>Lawn replacement</c:v>
                </c:pt>
                <c:pt idx="8">
                  <c:v>Metered water usage</c:v>
                </c:pt>
                <c:pt idx="9">
                  <c:v>Outdoor metered water use</c:v>
                </c:pt>
                <c:pt idx="10">
                  <c:v>increase in infiltration</c:v>
                </c:pt>
                <c:pt idx="11">
                  <c:v>decrease in runoff</c:v>
                </c:pt>
                <c:pt idx="14">
                  <c:v>Produce from site eaten</c:v>
                </c:pt>
                <c:pt idx="15">
                  <c:v>Water related carbon emissions</c:v>
                </c:pt>
              </c:strCache>
            </c:strRef>
          </c:cat>
          <c:val>
            <c:numRef>
              <c:f>'h2o calculator'!$O$10:$O$25</c:f>
              <c:numCache>
                <c:formatCode>#,##0</c:formatCode>
                <c:ptCount val="16"/>
                <c:pt idx="0">
                  <c:v>8298.887999999999</c:v>
                </c:pt>
                <c:pt idx="1">
                  <c:v>0.0</c:v>
                </c:pt>
                <c:pt idx="2">
                  <c:v>3862.115506849315</c:v>
                </c:pt>
                <c:pt idx="3">
                  <c:v>0.0</c:v>
                </c:pt>
                <c:pt idx="5">
                  <c:v>20.7561205479452</c:v>
                </c:pt>
                <c:pt idx="6">
                  <c:v>44708.976</c:v>
                </c:pt>
                <c:pt idx="7">
                  <c:v>11371.12</c:v>
                </c:pt>
                <c:pt idx="8">
                  <c:v>105098.736</c:v>
                </c:pt>
                <c:pt idx="9">
                  <c:v>60389.76000000002</c:v>
                </c:pt>
                <c:pt idx="10">
                  <c:v>34232.46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562200"/>
        <c:axId val="2106565464"/>
      </c:barChart>
      <c:barChart>
        <c:barDir val="col"/>
        <c:grouping val="clustered"/>
        <c:varyColors val="0"/>
        <c:ser>
          <c:idx val="2"/>
          <c:order val="2"/>
          <c:tx>
            <c:strRef>
              <c:f>'h2o calculator'!$P$3</c:f>
              <c:strCache>
                <c:ptCount val="1"/>
                <c:pt idx="0">
                  <c:v>Before (lbs/yr)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'h2o calculator'!$M$10:$M$25</c:f>
              <c:strCache>
                <c:ptCount val="16"/>
                <c:pt idx="0">
                  <c:v>Effective greywater reuse</c:v>
                </c:pt>
                <c:pt idx="1">
                  <c:v>#REF!</c:v>
                </c:pt>
                <c:pt idx="2">
                  <c:v>Indoor rainwater use</c:v>
                </c:pt>
                <c:pt idx="3">
                  <c:v>Outdoor rainwater use from tanks</c:v>
                </c:pt>
                <c:pt idx="5">
                  <c:v>Estimated indoor usage</c:v>
                </c:pt>
                <c:pt idx="6">
                  <c:v>Indoor metered water use</c:v>
                </c:pt>
                <c:pt idx="7">
                  <c:v>Lawn replacement</c:v>
                </c:pt>
                <c:pt idx="8">
                  <c:v>Metered water usage</c:v>
                </c:pt>
                <c:pt idx="9">
                  <c:v>Outdoor metered water use</c:v>
                </c:pt>
                <c:pt idx="10">
                  <c:v>increase in infiltration</c:v>
                </c:pt>
                <c:pt idx="11">
                  <c:v>decrease in runoff</c:v>
                </c:pt>
                <c:pt idx="14">
                  <c:v>Produce from site eaten</c:v>
                </c:pt>
                <c:pt idx="15">
                  <c:v>Water related carbon emissions</c:v>
                </c:pt>
              </c:strCache>
            </c:strRef>
          </c:cat>
          <c:val>
            <c:numRef>
              <c:f>'h2o calculator'!$P$10:$P$25</c:f>
              <c:numCache>
                <c:formatCode>General</c:formatCode>
                <c:ptCount val="16"/>
                <c:pt idx="14" formatCode="#,##0">
                  <c:v>100.0</c:v>
                </c:pt>
                <c:pt idx="15" formatCode="#,##0">
                  <c:v>5000.0</c:v>
                </c:pt>
              </c:numCache>
            </c:numRef>
          </c:val>
        </c:ser>
        <c:ser>
          <c:idx val="3"/>
          <c:order val="3"/>
          <c:tx>
            <c:strRef>
              <c:f>'h2o calculator'!$Q$3</c:f>
              <c:strCache>
                <c:ptCount val="1"/>
                <c:pt idx="0">
                  <c:v>After (lbs/yr)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'h2o calculator'!$M$10:$M$25</c:f>
              <c:strCache>
                <c:ptCount val="16"/>
                <c:pt idx="0">
                  <c:v>Effective greywater reuse</c:v>
                </c:pt>
                <c:pt idx="1">
                  <c:v>#REF!</c:v>
                </c:pt>
                <c:pt idx="2">
                  <c:v>Indoor rainwater use</c:v>
                </c:pt>
                <c:pt idx="3">
                  <c:v>Outdoor rainwater use from tanks</c:v>
                </c:pt>
                <c:pt idx="5">
                  <c:v>Estimated indoor usage</c:v>
                </c:pt>
                <c:pt idx="6">
                  <c:v>Indoor metered water use</c:v>
                </c:pt>
                <c:pt idx="7">
                  <c:v>Lawn replacement</c:v>
                </c:pt>
                <c:pt idx="8">
                  <c:v>Metered water usage</c:v>
                </c:pt>
                <c:pt idx="9">
                  <c:v>Outdoor metered water use</c:v>
                </c:pt>
                <c:pt idx="10">
                  <c:v>increase in infiltration</c:v>
                </c:pt>
                <c:pt idx="11">
                  <c:v>decrease in runoff</c:v>
                </c:pt>
                <c:pt idx="14">
                  <c:v>Produce from site eaten</c:v>
                </c:pt>
                <c:pt idx="15">
                  <c:v>Water related carbon emissions</c:v>
                </c:pt>
              </c:strCache>
            </c:strRef>
          </c:cat>
          <c:val>
            <c:numRef>
              <c:f>'h2o calculator'!$Q$10:$Q$25</c:f>
              <c:numCache>
                <c:formatCode>General</c:formatCode>
                <c:ptCount val="16"/>
                <c:pt idx="14" formatCode="#,##0">
                  <c:v>500.0</c:v>
                </c:pt>
                <c:pt idx="15" formatCode="#,##0">
                  <c:v>2000.0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570904"/>
        <c:axId val="2105951080"/>
      </c:barChart>
      <c:catAx>
        <c:axId val="210656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6565464"/>
        <c:crosses val="autoZero"/>
        <c:auto val="1"/>
        <c:lblAlgn val="ctr"/>
        <c:lblOffset val="100"/>
        <c:noMultiLvlLbl val="0"/>
      </c:catAx>
      <c:valAx>
        <c:axId val="2106565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Gallons per Year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106562200"/>
        <c:crosses val="autoZero"/>
        <c:crossBetween val="between"/>
      </c:valAx>
      <c:catAx>
        <c:axId val="2106570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05951080"/>
        <c:crosses val="autoZero"/>
        <c:auto val="1"/>
        <c:lblAlgn val="ctr"/>
        <c:lblOffset val="100"/>
        <c:noMultiLvlLbl val="0"/>
      </c:catAx>
      <c:valAx>
        <c:axId val="2105951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Pounds</a:t>
                </a:r>
                <a:r>
                  <a:rPr lang="en-US" baseline="0"/>
                  <a:t> per Year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65709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838868474774"/>
          <c:y val="0.608526752783353"/>
          <c:w val="0.09161131525226"/>
          <c:h val="0.174801605681643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Water income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[conventional]</a:t>
            </a:r>
          </a:p>
        </c:rich>
      </c:tx>
      <c:layout>
        <c:manualLayout>
          <c:xMode val="edge"/>
          <c:yMode val="edge"/>
          <c:x val="0.350419291338583"/>
          <c:y val="0.1723037266921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3714446231317"/>
          <c:y val="0.207013301285715"/>
          <c:w val="0.512571107537365"/>
          <c:h val="0.621226866441767"/>
        </c:manualLayout>
      </c:layout>
      <c:pieChart>
        <c:varyColors val="1"/>
        <c:ser>
          <c:idx val="0"/>
          <c:order val="0"/>
          <c:tx>
            <c:strRef>
              <c:f>'Budget-CHART'!$A$16</c:f>
              <c:strCache>
                <c:ptCount val="1"/>
              </c:strCache>
            </c:strRef>
          </c:tx>
          <c:spPr>
            <a:solidFill>
              <a:schemeClr val="accent4"/>
            </a:solidFill>
          </c:spPr>
          <c:dPt>
            <c:idx val="0"/>
            <c:bubble3D val="0"/>
            <c:explosion val="45"/>
          </c:dPt>
          <c:dLbls>
            <c:dLbl>
              <c:idx val="0"/>
              <c:layout>
                <c:manualLayout>
                  <c:x val="-0.00423954854855117"/>
                  <c:y val="-0.43967543702045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Metered water, 100%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1"/>
            <c:showBubbleSize val="0"/>
            <c:showLeaderLines val="1"/>
          </c:dLbls>
          <c:val>
            <c:numRef>
              <c:f>'Budget-CHART'!$C$9</c:f>
              <c:numCache>
                <c:formatCode>#,##0</c:formatCode>
                <c:ptCount val="1"/>
                <c:pt idx="0">
                  <c:v>229950.0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Income</a:t>
            </a:r>
          </a:p>
        </c:rich>
      </c:tx>
      <c:layout>
        <c:manualLayout>
          <c:xMode val="edge"/>
          <c:yMode val="edge"/>
          <c:x val="0.287327842853566"/>
          <c:y val="0.860003546853941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2"/>
              <c:layout>
                <c:manualLayout>
                  <c:x val="0.109991675760457"/>
                  <c:y val="8.77182849165014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9562681843916"/>
                  <c:y val="-0.19658290321365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'Budget-CHART'!$A$6:$A$12</c:f>
              <c:strCache>
                <c:ptCount val="7"/>
                <c:pt idx="0">
                  <c:v>Use by plants (good)</c:v>
                </c:pt>
                <c:pt idx="1">
                  <c:v>Rainwater used indoors</c:v>
                </c:pt>
                <c:pt idx="2">
                  <c:v>Rainwater used outdoors</c:v>
                </c:pt>
                <c:pt idx="3">
                  <c:v>Metered water usage</c:v>
                </c:pt>
                <c:pt idx="4">
                  <c:v>Additional efficiency savings</c:v>
                </c:pt>
                <c:pt idx="5">
                  <c:v>0</c:v>
                </c:pt>
                <c:pt idx="6">
                  <c:v>Reusable clearwater</c:v>
                </c:pt>
              </c:strCache>
            </c:strRef>
          </c:cat>
          <c:val>
            <c:numRef>
              <c:f>'Budget-CHART'!$B$6:$B$12</c:f>
              <c:numCache>
                <c:formatCode>#,##0</c:formatCode>
                <c:ptCount val="7"/>
                <c:pt idx="0">
                  <c:v>12555.0</c:v>
                </c:pt>
                <c:pt idx="1">
                  <c:v>3862.115506849315</c:v>
                </c:pt>
                <c:pt idx="2">
                  <c:v>0.0</c:v>
                </c:pt>
                <c:pt idx="3">
                  <c:v>106560.0</c:v>
                </c:pt>
                <c:pt idx="4">
                  <c:v>8643.024000000004</c:v>
                </c:pt>
                <c:pt idx="5">
                  <c:v>0.0</c:v>
                </c:pt>
                <c:pt idx="6">
                  <c:v>2920.0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Storage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'Budget-CHART'!$A$52:$A$53</c:f>
              <c:strCache>
                <c:ptCount val="2"/>
                <c:pt idx="0">
                  <c:v>Usable storage in soil</c:v>
                </c:pt>
                <c:pt idx="1">
                  <c:v>Effective storage in tanks</c:v>
                </c:pt>
              </c:strCache>
            </c:strRef>
          </c:cat>
          <c:val>
            <c:numRef>
              <c:f>'Budget-CHART'!$B$52:$B$53</c:f>
              <c:numCache>
                <c:formatCode>#,##0</c:formatCode>
                <c:ptCount val="2"/>
                <c:pt idx="0">
                  <c:v>39275.25</c:v>
                </c:pt>
                <c:pt idx="1">
                  <c:v>2200.0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'Budget-CHART'!$B$34</c:f>
              <c:strCache>
                <c:ptCount val="1"/>
                <c:pt idx="0">
                  <c:v>deep green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'Budget-CHART'!$A$35:$A$38</c:f>
              <c:strCache>
                <c:ptCount val="4"/>
                <c:pt idx="0">
                  <c:v>#REF!</c:v>
                </c:pt>
                <c:pt idx="1">
                  <c:v>Metered water usage</c:v>
                </c:pt>
                <c:pt idx="2">
                  <c:v>Net water consumption</c:v>
                </c:pt>
                <c:pt idx="3">
                  <c:v>Runoff (bad)</c:v>
                </c:pt>
              </c:strCache>
            </c:strRef>
          </c:cat>
          <c:val>
            <c:numRef>
              <c:f>'Budget-CHART'!$B$35:$B$38</c:f>
              <c:numCache>
                <c:formatCode>#,##0</c:formatCode>
                <c:ptCount val="4"/>
                <c:pt idx="0">
                  <c:v>38448.276</c:v>
                </c:pt>
                <c:pt idx="1">
                  <c:v>106560.0</c:v>
                </c:pt>
                <c:pt idx="2">
                  <c:v>68111.72400000001</c:v>
                </c:pt>
                <c:pt idx="3">
                  <c:v>-90090.0</c:v>
                </c:pt>
              </c:numCache>
            </c:numRef>
          </c:val>
        </c:ser>
        <c:ser>
          <c:idx val="1"/>
          <c:order val="1"/>
          <c:tx>
            <c:strRef>
              <c:f>'Budget-CHART'!$C$34</c:f>
              <c:strCache>
                <c:ptCount val="1"/>
                <c:pt idx="0">
                  <c:v>conventional</c:v>
                </c:pt>
              </c:strCache>
            </c:strRef>
          </c:tx>
          <c:invertIfNegative val="0"/>
          <c:cat>
            <c:strRef>
              <c:f>'Budget-CHART'!$A$35:$A$38</c:f>
              <c:strCache>
                <c:ptCount val="4"/>
                <c:pt idx="0">
                  <c:v>#REF!</c:v>
                </c:pt>
                <c:pt idx="1">
                  <c:v>Metered water usage</c:v>
                </c:pt>
                <c:pt idx="2">
                  <c:v>Net water consumption</c:v>
                </c:pt>
                <c:pt idx="3">
                  <c:v>Runoff (bad)</c:v>
                </c:pt>
              </c:strCache>
            </c:strRef>
          </c:cat>
          <c:val>
            <c:numRef>
              <c:f>'Budget-CHART'!$C$35:$C$38</c:f>
              <c:numCache>
                <c:formatCode>#,##0</c:formatCode>
                <c:ptCount val="4"/>
                <c:pt idx="0">
                  <c:v>9612.069</c:v>
                </c:pt>
                <c:pt idx="1">
                  <c:v>229950.0</c:v>
                </c:pt>
                <c:pt idx="2">
                  <c:v>229950.0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605304"/>
        <c:axId val="2109608344"/>
      </c:barChart>
      <c:catAx>
        <c:axId val="210960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9608344"/>
        <c:crosses val="autoZero"/>
        <c:auto val="1"/>
        <c:lblAlgn val="ctr"/>
        <c:lblOffset val="100"/>
        <c:noMultiLvlLbl val="0"/>
      </c:catAx>
      <c:valAx>
        <c:axId val="2109608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9605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'Budget-CHART'!$B$5</c:f>
              <c:strCache>
                <c:ptCount val="1"/>
                <c:pt idx="0">
                  <c:v>deep green</c:v>
                </c:pt>
              </c:strCache>
            </c:strRef>
          </c:tx>
          <c:invertIfNegative val="0"/>
          <c:cat>
            <c:strRef>
              <c:f>'Budget-CHART'!$A$6:$A$13</c:f>
              <c:strCache>
                <c:ptCount val="8"/>
                <c:pt idx="0">
                  <c:v>Use by plants (good)</c:v>
                </c:pt>
                <c:pt idx="1">
                  <c:v>Rainwater used indoors</c:v>
                </c:pt>
                <c:pt idx="2">
                  <c:v>Rainwater used outdoors</c:v>
                </c:pt>
                <c:pt idx="3">
                  <c:v>Metered water usage</c:v>
                </c:pt>
                <c:pt idx="4">
                  <c:v>Additional efficiency savings</c:v>
                </c:pt>
                <c:pt idx="5">
                  <c:v>0</c:v>
                </c:pt>
                <c:pt idx="6">
                  <c:v>Reusable clearwater</c:v>
                </c:pt>
                <c:pt idx="7">
                  <c:v>Total water income-Individual</c:v>
                </c:pt>
              </c:strCache>
            </c:strRef>
          </c:cat>
          <c:val>
            <c:numRef>
              <c:f>'Budget-CHART'!$B$6:$B$13</c:f>
              <c:numCache>
                <c:formatCode>#,##0</c:formatCode>
                <c:ptCount val="8"/>
                <c:pt idx="0">
                  <c:v>12555.0</c:v>
                </c:pt>
                <c:pt idx="1">
                  <c:v>3862.115506849315</c:v>
                </c:pt>
                <c:pt idx="2">
                  <c:v>0.0</c:v>
                </c:pt>
                <c:pt idx="3">
                  <c:v>106560.0</c:v>
                </c:pt>
                <c:pt idx="4">
                  <c:v>8643.024000000004</c:v>
                </c:pt>
                <c:pt idx="5">
                  <c:v>0.0</c:v>
                </c:pt>
                <c:pt idx="6">
                  <c:v>2920.0</c:v>
                </c:pt>
                <c:pt idx="7">
                  <c:v>134540.1395068493</c:v>
                </c:pt>
              </c:numCache>
            </c:numRef>
          </c:val>
        </c:ser>
        <c:ser>
          <c:idx val="1"/>
          <c:order val="1"/>
          <c:tx>
            <c:strRef>
              <c:f>'Budget-CHART'!$C$5</c:f>
              <c:strCache>
                <c:ptCount val="1"/>
                <c:pt idx="0">
                  <c:v>conventional</c:v>
                </c:pt>
              </c:strCache>
            </c:strRef>
          </c:tx>
          <c:invertIfNegative val="0"/>
          <c:cat>
            <c:strRef>
              <c:f>'Budget-CHART'!$A$6:$A$13</c:f>
              <c:strCache>
                <c:ptCount val="8"/>
                <c:pt idx="0">
                  <c:v>Use by plants (good)</c:v>
                </c:pt>
                <c:pt idx="1">
                  <c:v>Rainwater used indoors</c:v>
                </c:pt>
                <c:pt idx="2">
                  <c:v>Rainwater used outdoors</c:v>
                </c:pt>
                <c:pt idx="3">
                  <c:v>Metered water usage</c:v>
                </c:pt>
                <c:pt idx="4">
                  <c:v>Additional efficiency savings</c:v>
                </c:pt>
                <c:pt idx="5">
                  <c:v>0</c:v>
                </c:pt>
                <c:pt idx="6">
                  <c:v>Reusable clearwater</c:v>
                </c:pt>
                <c:pt idx="7">
                  <c:v>Total water income-Individual</c:v>
                </c:pt>
              </c:strCache>
            </c:strRef>
          </c:cat>
          <c:val>
            <c:numRef>
              <c:f>'Budget-CHART'!$C$6:$C$13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 formatCode="#,##0">
                  <c:v>229950.0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 formatCode="#,##0">
                  <c:v>229950.0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152744"/>
        <c:axId val="2109155784"/>
      </c:barChart>
      <c:catAx>
        <c:axId val="210915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9155784"/>
        <c:crosses val="autoZero"/>
        <c:auto val="1"/>
        <c:lblAlgn val="ctr"/>
        <c:lblOffset val="100"/>
        <c:noMultiLvlLbl val="0"/>
      </c:catAx>
      <c:valAx>
        <c:axId val="2109155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9152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65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quickfacts.census.gov/qfd/meta/long_HSG096212.ht" TargetMode="External"/><Relationship Id="rId4" Type="http://schemas.openxmlformats.org/officeDocument/2006/relationships/image" Target="../media/image5.jpeg"/><Relationship Id="rId1" Type="http://schemas.openxmlformats.org/officeDocument/2006/relationships/hyperlink" Target="http://quickfacts.census.gov/qfd/meta/long_HSG445212.ht" TargetMode="External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56</xdr:row>
      <xdr:rowOff>12700</xdr:rowOff>
    </xdr:from>
    <xdr:to>
      <xdr:col>13</xdr:col>
      <xdr:colOff>177800</xdr:colOff>
      <xdr:row>83</xdr:row>
      <xdr:rowOff>152400</xdr:rowOff>
    </xdr:to>
    <xdr:graphicFrame macro="">
      <xdr:nvGraphicFramePr>
        <xdr:cNvPr id="927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3</xdr:col>
      <xdr:colOff>1244600</xdr:colOff>
      <xdr:row>75</xdr:row>
      <xdr:rowOff>50800</xdr:rowOff>
    </xdr:to>
    <xdr:graphicFrame macro="">
      <xdr:nvGraphicFramePr>
        <xdr:cNvPr id="927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1270000</xdr:colOff>
      <xdr:row>58</xdr:row>
      <xdr:rowOff>101600</xdr:rowOff>
    </xdr:from>
    <xdr:to>
      <xdr:col>7</xdr:col>
      <xdr:colOff>482600</xdr:colOff>
      <xdr:row>75</xdr:row>
      <xdr:rowOff>33867</xdr:rowOff>
    </xdr:to>
    <xdr:graphicFrame macro="">
      <xdr:nvGraphicFramePr>
        <xdr:cNvPr id="928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16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1838" cy="58363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38100</xdr:rowOff>
    </xdr:from>
    <xdr:to>
      <xdr:col>7</xdr:col>
      <xdr:colOff>800100</xdr:colOff>
      <xdr:row>30</xdr:row>
      <xdr:rowOff>139700</xdr:rowOff>
    </xdr:to>
    <xdr:graphicFrame macro="">
      <xdr:nvGraphicFramePr>
        <xdr:cNvPr id="3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13</xdr:row>
      <xdr:rowOff>127000</xdr:rowOff>
    </xdr:from>
    <xdr:to>
      <xdr:col>2</xdr:col>
      <xdr:colOff>622300</xdr:colOff>
      <xdr:row>30</xdr:row>
      <xdr:rowOff>139700</xdr:rowOff>
    </xdr:to>
    <xdr:graphicFrame macro="">
      <xdr:nvGraphicFramePr>
        <xdr:cNvPr id="34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101600</xdr:colOff>
      <xdr:row>51</xdr:row>
      <xdr:rowOff>63500</xdr:rowOff>
    </xdr:from>
    <xdr:to>
      <xdr:col>7</xdr:col>
      <xdr:colOff>838200</xdr:colOff>
      <xdr:row>67</xdr:row>
      <xdr:rowOff>88900</xdr:rowOff>
    </xdr:to>
    <xdr:graphicFrame macro="">
      <xdr:nvGraphicFramePr>
        <xdr:cNvPr id="34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</xdr:colOff>
      <xdr:row>33</xdr:row>
      <xdr:rowOff>114300</xdr:rowOff>
    </xdr:from>
    <xdr:to>
      <xdr:col>7</xdr:col>
      <xdr:colOff>825500</xdr:colOff>
      <xdr:row>47</xdr:row>
      <xdr:rowOff>63500</xdr:rowOff>
    </xdr:to>
    <xdr:graphicFrame macro="">
      <xdr:nvGraphicFramePr>
        <xdr:cNvPr id="34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50800</xdr:rowOff>
    </xdr:from>
    <xdr:to>
      <xdr:col>16</xdr:col>
      <xdr:colOff>12700</xdr:colOff>
      <xdr:row>56</xdr:row>
      <xdr:rowOff>25400</xdr:rowOff>
    </xdr:to>
    <xdr:graphicFrame macro="">
      <xdr:nvGraphicFramePr>
        <xdr:cNvPr id="10769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429260</xdr:colOff>
      <xdr:row>50</xdr:row>
      <xdr:rowOff>2540</xdr:rowOff>
    </xdr:from>
    <xdr:to>
      <xdr:col>19</xdr:col>
      <xdr:colOff>142240</xdr:colOff>
      <xdr:row>50</xdr:row>
      <xdr:rowOff>16369</xdr:rowOff>
    </xdr:to>
    <xdr:cxnSp macro="">
      <xdr:nvCxnSpPr>
        <xdr:cNvPr id="5" name="Straight Connector 4"/>
        <xdr:cNvCxnSpPr/>
      </xdr:nvCxnSpPr>
      <xdr:spPr>
        <a:xfrm>
          <a:off x="429260" y="9309100"/>
          <a:ext cx="11315700" cy="13829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59</xdr:row>
      <xdr:rowOff>0</xdr:rowOff>
    </xdr:from>
    <xdr:to>
      <xdr:col>16</xdr:col>
      <xdr:colOff>0</xdr:colOff>
      <xdr:row>74</xdr:row>
      <xdr:rowOff>0</xdr:rowOff>
    </xdr:to>
    <xdr:graphicFrame macro="">
      <xdr:nvGraphicFramePr>
        <xdr:cNvPr id="107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243840</xdr:colOff>
      <xdr:row>33</xdr:row>
      <xdr:rowOff>60960</xdr:rowOff>
    </xdr:from>
    <xdr:to>
      <xdr:col>7</xdr:col>
      <xdr:colOff>254000</xdr:colOff>
      <xdr:row>34</xdr:row>
      <xdr:rowOff>152400</xdr:rowOff>
    </xdr:to>
    <xdr:sp macro="" textlink="">
      <xdr:nvSpPr>
        <xdr:cNvPr id="12" name="TextBox 11"/>
        <xdr:cNvSpPr txBox="1"/>
      </xdr:nvSpPr>
      <xdr:spPr>
        <a:xfrm>
          <a:off x="3901440" y="6258560"/>
          <a:ext cx="60960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Leaks!</a:t>
          </a:r>
        </a:p>
      </xdr:txBody>
    </xdr:sp>
    <xdr:clientData/>
  </xdr:twoCellAnchor>
  <xdr:twoCellAnchor>
    <xdr:from>
      <xdr:col>7</xdr:col>
      <xdr:colOff>487680</xdr:colOff>
      <xdr:row>37</xdr:row>
      <xdr:rowOff>111760</xdr:rowOff>
    </xdr:from>
    <xdr:to>
      <xdr:col>8</xdr:col>
      <xdr:colOff>497840</xdr:colOff>
      <xdr:row>39</xdr:row>
      <xdr:rowOff>20320</xdr:rowOff>
    </xdr:to>
    <xdr:sp macro="" textlink="">
      <xdr:nvSpPr>
        <xdr:cNvPr id="13" name="TextBox 12"/>
        <xdr:cNvSpPr txBox="1"/>
      </xdr:nvSpPr>
      <xdr:spPr>
        <a:xfrm>
          <a:off x="4744720" y="7040880"/>
          <a:ext cx="60960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Leak!</a:t>
          </a:r>
        </a:p>
      </xdr:txBody>
    </xdr:sp>
    <xdr:clientData/>
  </xdr:twoCellAnchor>
  <xdr:twoCellAnchor>
    <xdr:from>
      <xdr:col>14</xdr:col>
      <xdr:colOff>213360</xdr:colOff>
      <xdr:row>49</xdr:row>
      <xdr:rowOff>0</xdr:rowOff>
    </xdr:from>
    <xdr:to>
      <xdr:col>18</xdr:col>
      <xdr:colOff>518160</xdr:colOff>
      <xdr:row>51</xdr:row>
      <xdr:rowOff>71120</xdr:rowOff>
    </xdr:to>
    <xdr:sp macro="" textlink="">
      <xdr:nvSpPr>
        <xdr:cNvPr id="14" name="TextBox 13"/>
        <xdr:cNvSpPr txBox="1"/>
      </xdr:nvSpPr>
      <xdr:spPr>
        <a:xfrm>
          <a:off x="8818880" y="9123680"/>
          <a:ext cx="2702560" cy="436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Red</a:t>
          </a:r>
          <a:r>
            <a:rPr lang="en-US" sz="1100" baseline="0"/>
            <a:t> line= V</a:t>
          </a:r>
          <a:r>
            <a:rPr lang="en-US" sz="1100"/>
            <a:t>isual estimate of use when there was no irrigation, = approximate</a:t>
          </a:r>
          <a:r>
            <a:rPr lang="en-US" sz="1100" baseline="0"/>
            <a:t> indoor use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50800</xdr:rowOff>
    </xdr:from>
    <xdr:to>
      <xdr:col>16</xdr:col>
      <xdr:colOff>12700</xdr:colOff>
      <xdr:row>56</xdr:row>
      <xdr:rowOff>25400</xdr:rowOff>
    </xdr:to>
    <xdr:graphicFrame macro="">
      <xdr:nvGraphicFramePr>
        <xdr:cNvPr id="91531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429260</xdr:colOff>
      <xdr:row>50</xdr:row>
      <xdr:rowOff>2540</xdr:rowOff>
    </xdr:from>
    <xdr:to>
      <xdr:col>20</xdr:col>
      <xdr:colOff>650240</xdr:colOff>
      <xdr:row>50</xdr:row>
      <xdr:rowOff>18157</xdr:rowOff>
    </xdr:to>
    <xdr:cxnSp macro="">
      <xdr:nvCxnSpPr>
        <xdr:cNvPr id="3" name="Straight Connector 2"/>
        <xdr:cNvCxnSpPr/>
      </xdr:nvCxnSpPr>
      <xdr:spPr>
        <a:xfrm>
          <a:off x="429260" y="9057640"/>
          <a:ext cx="12730480" cy="15617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59</xdr:row>
      <xdr:rowOff>0</xdr:rowOff>
    </xdr:from>
    <xdr:to>
      <xdr:col>16</xdr:col>
      <xdr:colOff>0</xdr:colOff>
      <xdr:row>74</xdr:row>
      <xdr:rowOff>0</xdr:rowOff>
    </xdr:to>
    <xdr:graphicFrame macro="">
      <xdr:nvGraphicFramePr>
        <xdr:cNvPr id="915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355600</xdr:colOff>
      <xdr:row>49</xdr:row>
      <xdr:rowOff>40640</xdr:rowOff>
    </xdr:from>
    <xdr:to>
      <xdr:col>18</xdr:col>
      <xdr:colOff>558800</xdr:colOff>
      <xdr:row>51</xdr:row>
      <xdr:rowOff>20320</xdr:rowOff>
    </xdr:to>
    <xdr:sp macro="" textlink="">
      <xdr:nvSpPr>
        <xdr:cNvPr id="5" name="TextBox 4"/>
        <xdr:cNvSpPr txBox="1"/>
      </xdr:nvSpPr>
      <xdr:spPr>
        <a:xfrm>
          <a:off x="8961120" y="9164320"/>
          <a:ext cx="2600960" cy="345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14</xdr:col>
      <xdr:colOff>355600</xdr:colOff>
      <xdr:row>49</xdr:row>
      <xdr:rowOff>20320</xdr:rowOff>
    </xdr:from>
    <xdr:to>
      <xdr:col>19</xdr:col>
      <xdr:colOff>467360</xdr:colOff>
      <xdr:row>51</xdr:row>
      <xdr:rowOff>91440</xdr:rowOff>
    </xdr:to>
    <xdr:sp macro="" textlink="">
      <xdr:nvSpPr>
        <xdr:cNvPr id="6" name="TextBox 5"/>
        <xdr:cNvSpPr txBox="1"/>
      </xdr:nvSpPr>
      <xdr:spPr>
        <a:xfrm>
          <a:off x="8961120" y="9144000"/>
          <a:ext cx="3108960" cy="436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Move</a:t>
          </a:r>
          <a:r>
            <a:rPr lang="en-US" sz="1100" baseline="0"/>
            <a:t> R</a:t>
          </a:r>
          <a:r>
            <a:rPr lang="en-US" sz="1100"/>
            <a:t>ed</a:t>
          </a:r>
          <a:r>
            <a:rPr lang="en-US" sz="1100" baseline="0"/>
            <a:t> line to your v</a:t>
          </a:r>
          <a:r>
            <a:rPr lang="en-US" sz="1100"/>
            <a:t>isual estimate of use when there was no irrigation, = approximate</a:t>
          </a:r>
          <a:r>
            <a:rPr lang="en-US" sz="1100" baseline="0"/>
            <a:t> indoor use</a:t>
          </a:r>
          <a:endParaRPr lang="en-US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0.0623</cdr:x>
      <cdr:y>0.03261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09579" cy="19049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0.00519</cdr:x>
      <cdr:y>0.0087</cdr:y>
    </cdr:from>
    <cdr:to>
      <cdr:x>0.28141</cdr:x>
      <cdr:y>0.08348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800" y="50800"/>
          <a:ext cx="2702560" cy="43688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Red</a:t>
          </a:r>
          <a:r>
            <a:rPr lang="en-US" sz="1100" baseline="0"/>
            <a:t> line= V</a:t>
          </a:r>
          <a:r>
            <a:rPr lang="en-US" sz="1100"/>
            <a:t>isual estimate of use when there was no irrigation, = approximate</a:t>
          </a:r>
          <a:r>
            <a:rPr lang="en-US" sz="1100" baseline="0"/>
            <a:t> indoor use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558800</xdr:colOff>
      <xdr:row>0</xdr:row>
      <xdr:rowOff>127000</xdr:rowOff>
    </xdr:from>
    <xdr:to>
      <xdr:col>10</xdr:col>
      <xdr:colOff>863600</xdr:colOff>
      <xdr:row>22</xdr:row>
      <xdr:rowOff>38100</xdr:rowOff>
    </xdr:to>
    <xdr:pic>
      <xdr:nvPicPr>
        <xdr:cNvPr id="6333" name="Picture 1" descr="//www.santabarbaraca.gov/images/pw/water/W%20Conservation%20thumbs/WateringAdjustGrap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0" y="127000"/>
          <a:ext cx="5067300" cy="365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90</xdr:row>
      <xdr:rowOff>88900</xdr:rowOff>
    </xdr:from>
    <xdr:to>
      <xdr:col>6</xdr:col>
      <xdr:colOff>660400</xdr:colOff>
      <xdr:row>112</xdr:row>
      <xdr:rowOff>0</xdr:rowOff>
    </xdr:to>
    <xdr:pic>
      <xdr:nvPicPr>
        <xdr:cNvPr id="633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11500"/>
          <a:ext cx="6946900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165100</xdr:colOff>
      <xdr:row>28</xdr:row>
      <xdr:rowOff>0</xdr:rowOff>
    </xdr:to>
    <xdr:pic>
      <xdr:nvPicPr>
        <xdr:cNvPr id="7418" name="HSG445212" descr="omeownership rate definition and source inf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66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165100</xdr:colOff>
      <xdr:row>28</xdr:row>
      <xdr:rowOff>0</xdr:rowOff>
    </xdr:to>
    <xdr:pic>
      <xdr:nvPicPr>
        <xdr:cNvPr id="7419" name="HSG096212" descr="ousing units in multi-unit structures, percent definition and source info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66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889000</xdr:colOff>
      <xdr:row>0</xdr:row>
      <xdr:rowOff>12700</xdr:rowOff>
    </xdr:from>
    <xdr:to>
      <xdr:col>14</xdr:col>
      <xdr:colOff>914400</xdr:colOff>
      <xdr:row>36</xdr:row>
      <xdr:rowOff>25400</xdr:rowOff>
    </xdr:to>
    <xdr:pic>
      <xdr:nvPicPr>
        <xdr:cNvPr id="7420" name="Picture 3" descr="ttp://cosb.countyofsb.org/uploadedimages/pwd/Water/Average%20Rainfall%20-%202011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2700"/>
          <a:ext cx="7645400" cy="604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bcassessor.com/assessor/details.aspx?apn=027251003" TargetMode="External"/><Relationship Id="rId4" Type="http://schemas.openxmlformats.org/officeDocument/2006/relationships/hyperlink" Target="https://support.google.com/earth/answer/148134?hl=en" TargetMode="External"/><Relationship Id="rId5" Type="http://schemas.openxmlformats.org/officeDocument/2006/relationships/hyperlink" Target="http://oasisdesign.net/greywater/createanoasis/NCOhowToMeasurePerk.pdf" TargetMode="External"/><Relationship Id="rId6" Type="http://schemas.openxmlformats.org/officeDocument/2006/relationships/hyperlink" Target="http://sbcassessor.com/assessor/details.aspx?apn=027251003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cosb.countyofsb.org/pwd/pwwater.aspx?id=3788" TargetMode="External"/><Relationship Id="rId2" Type="http://schemas.openxmlformats.org/officeDocument/2006/relationships/hyperlink" Target="https://utilitiesonline.santabarbaraca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utilitiesonline.santabarbaraca.gov/" TargetMode="External"/><Relationship Id="rId2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utilitiesonline.santabarbaraca.gov/" TargetMode="External"/><Relationship Id="rId2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gineeringtoolbox.com/21_798.html" TargetMode="External"/><Relationship Id="rId2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50"/>
  <sheetViews>
    <sheetView tabSelected="1" zoomScale="150" zoomScaleNormal="150" zoomScalePageLayoutView="150" workbookViewId="0">
      <pane ySplit="1" topLeftCell="A2" activePane="bottomLeft" state="frozenSplit"/>
      <selection pane="bottomLeft" activeCell="A23" sqref="A23"/>
    </sheetView>
  </sheetViews>
  <sheetFormatPr baseColWidth="10" defaultRowHeight="13" x14ac:dyDescent="0"/>
  <cols>
    <col min="1" max="1" width="10.28515625" style="2" customWidth="1"/>
    <col min="2" max="2" width="9.28515625" style="6" customWidth="1"/>
    <col min="3" max="3" width="5.5703125" customWidth="1"/>
    <col min="4" max="4" width="29" style="23" customWidth="1"/>
    <col min="5" max="5" width="9.85546875" style="42" customWidth="1"/>
    <col min="6" max="6" width="8.5703125" style="411" customWidth="1"/>
    <col min="7" max="7" width="7.42578125" customWidth="1"/>
    <col min="8" max="8" width="9" customWidth="1"/>
    <col min="9" max="9" width="7.5703125" customWidth="1"/>
    <col min="10" max="10" width="6.7109375" customWidth="1"/>
  </cols>
  <sheetData>
    <row r="1" spans="1:17">
      <c r="A1" s="2" t="s">
        <v>528</v>
      </c>
      <c r="B1" s="6" t="s">
        <v>529</v>
      </c>
      <c r="C1" t="s">
        <v>154</v>
      </c>
      <c r="E1" s="42" t="s">
        <v>549</v>
      </c>
      <c r="F1" s="410" t="s">
        <v>109</v>
      </c>
      <c r="G1" t="s">
        <v>534</v>
      </c>
    </row>
    <row r="2" spans="1:17" ht="16">
      <c r="A2" s="4" t="s">
        <v>466</v>
      </c>
      <c r="B2" s="1"/>
      <c r="E2"/>
      <c r="M2" s="31" t="s">
        <v>376</v>
      </c>
      <c r="N2" s="31"/>
      <c r="O2" s="31"/>
      <c r="P2" s="31"/>
      <c r="Q2" s="31"/>
    </row>
    <row r="3" spans="1:17" s="155" customFormat="1">
      <c r="A3" s="154" t="s">
        <v>467</v>
      </c>
      <c r="B3" s="154"/>
      <c r="D3" s="156"/>
      <c r="F3" s="432"/>
      <c r="M3" s="31"/>
      <c r="N3" s="31" t="s">
        <v>490</v>
      </c>
      <c r="O3" s="31" t="s">
        <v>489</v>
      </c>
      <c r="P3" s="31" t="s">
        <v>487</v>
      </c>
      <c r="Q3" s="31" t="s">
        <v>488</v>
      </c>
    </row>
    <row r="4" spans="1:17" s="149" customFormat="1">
      <c r="A4" s="151" t="s">
        <v>460</v>
      </c>
      <c r="B4" s="148"/>
      <c r="D4" s="150"/>
      <c r="F4" s="433"/>
      <c r="M4" s="26" t="e">
        <f>#REF!</f>
        <v>#REF!</v>
      </c>
      <c r="N4" s="26" t="e">
        <f>#REF!</f>
        <v>#REF!</v>
      </c>
      <c r="O4" s="26" t="e">
        <f>#REF!</f>
        <v>#REF!</v>
      </c>
      <c r="P4" s="142"/>
      <c r="Q4" s="142"/>
    </row>
    <row r="5" spans="1:17" s="149" customFormat="1">
      <c r="A5" s="151" t="s">
        <v>600</v>
      </c>
      <c r="B5" s="148"/>
      <c r="D5" s="150"/>
      <c r="F5" s="433"/>
      <c r="M5" s="26" t="e">
        <f>#REF!</f>
        <v>#REF!</v>
      </c>
      <c r="N5" s="26" t="e">
        <f>#REF!</f>
        <v>#REF!</v>
      </c>
      <c r="O5" s="26" t="e">
        <f>#REF!</f>
        <v>#REF!</v>
      </c>
      <c r="P5" s="31"/>
      <c r="Q5" s="31"/>
    </row>
    <row r="6" spans="1:17" s="149" customFormat="1">
      <c r="A6" s="151" t="s">
        <v>461</v>
      </c>
      <c r="B6" s="148"/>
      <c r="D6" s="150"/>
      <c r="F6" s="433"/>
      <c r="M6" s="26" t="e">
        <f>#REF!</f>
        <v>#REF!</v>
      </c>
      <c r="N6" s="26" t="e">
        <f>#REF!</f>
        <v>#REF!</v>
      </c>
      <c r="O6" s="26" t="e">
        <f>#REF!</f>
        <v>#REF!</v>
      </c>
      <c r="P6" s="31"/>
      <c r="Q6" s="31"/>
    </row>
    <row r="7" spans="1:17" s="149" customFormat="1">
      <c r="A7" s="151" t="s">
        <v>462</v>
      </c>
      <c r="B7" s="148"/>
      <c r="D7" s="150"/>
      <c r="F7" s="433"/>
      <c r="M7" s="26" t="e">
        <f>#REF!</f>
        <v>#REF!</v>
      </c>
      <c r="N7" s="26" t="e">
        <f>#REF!</f>
        <v>#REF!</v>
      </c>
      <c r="O7" s="26" t="e">
        <f>#REF!</f>
        <v>#REF!</v>
      </c>
      <c r="P7" s="31"/>
      <c r="Q7" s="31"/>
    </row>
    <row r="8" spans="1:17" s="149" customFormat="1">
      <c r="A8" s="151"/>
      <c r="B8" s="148"/>
      <c r="D8" s="150"/>
      <c r="F8" s="433"/>
      <c r="M8" s="31"/>
      <c r="N8" s="31"/>
      <c r="O8" s="31"/>
      <c r="P8" s="31"/>
      <c r="Q8" s="31"/>
    </row>
    <row r="9" spans="1:17" s="149" customFormat="1">
      <c r="A9" s="453" t="s">
        <v>459</v>
      </c>
      <c r="B9" s="454"/>
      <c r="C9" s="455"/>
      <c r="D9" s="456"/>
      <c r="E9" s="455"/>
      <c r="F9" s="457"/>
      <c r="G9" s="455"/>
      <c r="H9" s="455"/>
      <c r="I9" s="455"/>
      <c r="J9" s="455"/>
      <c r="K9" s="458"/>
      <c r="M9" s="26" t="str">
        <f>D55</f>
        <v>Effective greywater reuse</v>
      </c>
      <c r="N9" s="26">
        <f>A55</f>
        <v>480.16800000000006</v>
      </c>
      <c r="O9" s="26">
        <f>B55</f>
        <v>8298.887999999999</v>
      </c>
      <c r="P9" s="31"/>
      <c r="Q9" s="31"/>
    </row>
    <row r="10" spans="1:17" s="149" customFormat="1">
      <c r="A10" s="459" t="s">
        <v>458</v>
      </c>
      <c r="B10" s="460"/>
      <c r="C10" s="461"/>
      <c r="D10" s="150"/>
      <c r="E10" s="461"/>
      <c r="F10" s="462"/>
      <c r="G10" s="461"/>
      <c r="H10" s="461"/>
      <c r="I10" s="461"/>
      <c r="J10" s="461"/>
      <c r="K10" s="463"/>
      <c r="M10" s="26" t="str">
        <f>D55</f>
        <v>Effective greywater reuse</v>
      </c>
      <c r="N10" s="26">
        <f>A55</f>
        <v>480.16800000000006</v>
      </c>
      <c r="O10" s="26">
        <f>B55</f>
        <v>8298.887999999999</v>
      </c>
      <c r="P10" s="142"/>
      <c r="Q10" s="142"/>
    </row>
    <row r="11" spans="1:17" ht="16">
      <c r="A11" s="464" t="s">
        <v>463</v>
      </c>
      <c r="B11" s="465"/>
      <c r="C11" s="466"/>
      <c r="D11" s="451"/>
      <c r="E11" s="8"/>
      <c r="F11" s="420"/>
      <c r="G11" s="8"/>
      <c r="H11" s="8"/>
      <c r="I11" s="8"/>
      <c r="J11" s="8"/>
      <c r="K11" s="467"/>
      <c r="M11" s="26" t="e">
        <f>#REF!</f>
        <v>#REF!</v>
      </c>
      <c r="N11" s="26" t="e">
        <f>#REF!</f>
        <v>#REF!</v>
      </c>
      <c r="O11" s="26" t="e">
        <f>#REF!</f>
        <v>#REF!</v>
      </c>
      <c r="P11" s="31"/>
      <c r="Q11" s="31"/>
    </row>
    <row r="12" spans="1:17">
      <c r="A12" s="468" t="s">
        <v>465</v>
      </c>
      <c r="B12" s="469"/>
      <c r="C12" s="470"/>
      <c r="E12" s="8"/>
      <c r="F12" s="420"/>
      <c r="G12" s="8"/>
      <c r="H12" s="8"/>
      <c r="I12" s="8"/>
      <c r="J12" s="8"/>
      <c r="K12" s="467"/>
      <c r="M12" s="26" t="str">
        <f>D56</f>
        <v>Indoor rainwater use</v>
      </c>
      <c r="N12" s="26">
        <f>A56</f>
        <v>0</v>
      </c>
      <c r="O12" s="26">
        <f>B56</f>
        <v>3862.1155068493154</v>
      </c>
      <c r="P12" s="31"/>
      <c r="Q12" s="31"/>
    </row>
    <row r="13" spans="1:17">
      <c r="A13" s="468" t="s">
        <v>464</v>
      </c>
      <c r="B13" s="469"/>
      <c r="C13" s="470"/>
      <c r="E13" s="8"/>
      <c r="F13" s="420"/>
      <c r="G13" s="8"/>
      <c r="H13" s="8"/>
      <c r="I13" s="8"/>
      <c r="J13" s="8"/>
      <c r="K13" s="467"/>
      <c r="M13" s="26" t="str">
        <f>D57</f>
        <v>Outdoor rainwater use from tanks</v>
      </c>
      <c r="N13" s="26">
        <f>A57</f>
        <v>0</v>
      </c>
      <c r="O13" s="26">
        <f>B57</f>
        <v>0</v>
      </c>
      <c r="P13" s="31"/>
      <c r="Q13" s="31"/>
    </row>
    <row r="14" spans="1:17" s="8" customFormat="1">
      <c r="A14" s="471" t="s">
        <v>601</v>
      </c>
      <c r="B14" s="143"/>
      <c r="C14" s="143"/>
      <c r="D14" s="452"/>
      <c r="F14" s="420"/>
      <c r="K14" s="467"/>
      <c r="M14" s="31"/>
      <c r="N14" s="31"/>
      <c r="O14" s="31"/>
      <c r="P14" s="31"/>
      <c r="Q14" s="31"/>
    </row>
    <row r="15" spans="1:17">
      <c r="A15" s="459" t="s">
        <v>602</v>
      </c>
      <c r="B15" s="26"/>
      <c r="C15" s="12"/>
      <c r="E15" s="8"/>
      <c r="F15" s="420"/>
      <c r="G15" s="8"/>
      <c r="H15" s="8"/>
      <c r="I15" s="8"/>
      <c r="J15" s="8"/>
      <c r="K15" s="467"/>
      <c r="M15" s="26" t="str">
        <f>D81</f>
        <v>Estimated indoor usage</v>
      </c>
      <c r="N15" s="26">
        <f>A81</f>
        <v>36.542465753424658</v>
      </c>
      <c r="O15" s="26">
        <f>B81</f>
        <v>20.756120547945205</v>
      </c>
      <c r="P15" s="31"/>
      <c r="Q15" s="31"/>
    </row>
    <row r="16" spans="1:17">
      <c r="A16" s="459" t="s">
        <v>468</v>
      </c>
      <c r="B16" s="26"/>
      <c r="C16" s="12"/>
      <c r="E16" s="8"/>
      <c r="F16" s="420"/>
      <c r="G16" s="8"/>
      <c r="H16" s="8"/>
      <c r="I16" s="8"/>
      <c r="J16" s="8"/>
      <c r="K16" s="467"/>
      <c r="M16" s="26" t="str">
        <f>D79</f>
        <v>Indoor metered water use</v>
      </c>
      <c r="N16" s="26">
        <f>A79</f>
        <v>53352</v>
      </c>
      <c r="O16" s="26">
        <f>B79</f>
        <v>44708.975999999995</v>
      </c>
      <c r="P16" s="31"/>
      <c r="Q16" s="31"/>
    </row>
    <row r="17" spans="1:17">
      <c r="A17" s="459" t="s">
        <v>469</v>
      </c>
      <c r="B17" s="26"/>
      <c r="C17" s="12"/>
      <c r="E17" s="8"/>
      <c r="F17" s="420"/>
      <c r="G17" s="8"/>
      <c r="H17" s="8"/>
      <c r="I17" s="8"/>
      <c r="J17" s="8"/>
      <c r="K17" s="467"/>
      <c r="M17" s="26" t="str">
        <f>D83</f>
        <v>Lawn replacement</v>
      </c>
      <c r="N17" s="26">
        <f>A83</f>
        <v>18552.88</v>
      </c>
      <c r="O17" s="26">
        <f>B83</f>
        <v>11371.12</v>
      </c>
      <c r="P17" s="142"/>
      <c r="Q17" s="142"/>
    </row>
    <row r="18" spans="1:17">
      <c r="A18" s="459" t="s">
        <v>483</v>
      </c>
      <c r="B18" s="26"/>
      <c r="C18" s="12"/>
      <c r="E18" s="8"/>
      <c r="F18" s="420"/>
      <c r="G18" s="8"/>
      <c r="H18" s="8"/>
      <c r="I18" s="8"/>
      <c r="J18" s="8"/>
      <c r="K18" s="467"/>
      <c r="M18" s="26" t="str">
        <f>D52</f>
        <v>Metered water usage</v>
      </c>
      <c r="N18" s="26">
        <f>A52</f>
        <v>106560.00000000001</v>
      </c>
      <c r="O18" s="26">
        <f>B52</f>
        <v>105098.73600000002</v>
      </c>
      <c r="P18" s="31"/>
      <c r="Q18" s="31"/>
    </row>
    <row r="19" spans="1:17">
      <c r="A19" s="472" t="s">
        <v>484</v>
      </c>
      <c r="B19" s="473"/>
      <c r="C19" s="474"/>
      <c r="D19" s="475"/>
      <c r="E19" s="476"/>
      <c r="F19" s="477"/>
      <c r="G19" s="476"/>
      <c r="H19" s="476"/>
      <c r="I19" s="476"/>
      <c r="J19" s="476"/>
      <c r="K19" s="478"/>
      <c r="M19" s="26" t="str">
        <f>D80</f>
        <v>Outdoor metered water use</v>
      </c>
      <c r="N19" s="26">
        <f>A80</f>
        <v>53208.000000000022</v>
      </c>
      <c r="O19" s="26">
        <f>B80</f>
        <v>60389.760000000024</v>
      </c>
      <c r="P19" s="31"/>
      <c r="Q19" s="31"/>
    </row>
    <row r="20" spans="1:17">
      <c r="B20" s="120"/>
      <c r="C20" s="32"/>
      <c r="E20"/>
      <c r="M20" s="26" t="str">
        <f>D86</f>
        <v>increase in infiltration</v>
      </c>
      <c r="N20" s="26">
        <f>A86</f>
        <v>0</v>
      </c>
      <c r="O20" s="26">
        <f>B86</f>
        <v>34232.46</v>
      </c>
      <c r="P20" s="31"/>
      <c r="Q20" s="31"/>
    </row>
    <row r="21" spans="1:17">
      <c r="A21" s="214" t="s">
        <v>513</v>
      </c>
      <c r="B21" s="120"/>
      <c r="C21" s="32"/>
      <c r="E21"/>
      <c r="M21" s="26" t="str">
        <f>D87</f>
        <v>decrease in runoff</v>
      </c>
      <c r="N21" s="26">
        <f>A87</f>
        <v>0</v>
      </c>
      <c r="O21" s="26" t="e">
        <f>B87</f>
        <v>#REF!</v>
      </c>
      <c r="P21" s="142"/>
      <c r="Q21" s="142"/>
    </row>
    <row r="22" spans="1:17">
      <c r="A22" s="486" t="s">
        <v>604</v>
      </c>
      <c r="B22" s="482"/>
      <c r="C22" s="483"/>
      <c r="D22" s="484"/>
      <c r="E22" s="483"/>
      <c r="F22" s="485"/>
      <c r="M22" s="26"/>
      <c r="N22" s="31"/>
      <c r="O22" s="31"/>
      <c r="P22" s="26"/>
      <c r="Q22" s="26"/>
    </row>
    <row r="23" spans="1:17">
      <c r="A23" s="2" t="s">
        <v>603</v>
      </c>
      <c r="B23" s="120"/>
      <c r="C23" s="32"/>
      <c r="E23"/>
      <c r="M23" s="26"/>
      <c r="N23" s="26"/>
      <c r="O23" s="26"/>
      <c r="P23" s="142"/>
      <c r="Q23" s="142"/>
    </row>
    <row r="24" spans="1:17">
      <c r="A24" s="2" t="s">
        <v>516</v>
      </c>
      <c r="B24" s="120"/>
      <c r="C24" s="32"/>
      <c r="E24"/>
      <c r="M24" s="26" t="str">
        <f>D89</f>
        <v>Produce from site eaten</v>
      </c>
      <c r="N24" s="31"/>
      <c r="O24" s="31"/>
      <c r="P24" s="26">
        <f>A89</f>
        <v>100</v>
      </c>
      <c r="Q24" s="26">
        <f>B89</f>
        <v>500</v>
      </c>
    </row>
    <row r="25" spans="1:17">
      <c r="A25" s="2" t="s">
        <v>517</v>
      </c>
      <c r="B25" s="120"/>
      <c r="C25" s="32"/>
      <c r="E25"/>
      <c r="M25" s="26" t="str">
        <f>D92</f>
        <v>Water related carbon emissions</v>
      </c>
      <c r="N25" s="31"/>
      <c r="O25" s="31"/>
      <c r="P25" s="26">
        <f>A92</f>
        <v>5000</v>
      </c>
      <c r="Q25" s="26">
        <f>B92</f>
        <v>2000</v>
      </c>
    </row>
    <row r="26" spans="1:17">
      <c r="A26" s="2" t="s">
        <v>514</v>
      </c>
      <c r="B26" s="120"/>
      <c r="C26" s="32"/>
      <c r="E26"/>
    </row>
    <row r="27" spans="1:17">
      <c r="A27" s="2" t="s">
        <v>515</v>
      </c>
      <c r="B27" s="120"/>
      <c r="C27" s="32"/>
      <c r="E27"/>
    </row>
    <row r="28" spans="1:17" ht="14" thickBot="1">
      <c r="A28" s="119"/>
      <c r="B28" s="42"/>
      <c r="C28" s="42"/>
      <c r="E28"/>
    </row>
    <row r="29" spans="1:17" s="113" customFormat="1" ht="15" thickTop="1" thickBot="1">
      <c r="A29" s="231" t="s">
        <v>550</v>
      </c>
      <c r="B29" s="232"/>
      <c r="C29" s="232"/>
      <c r="D29" s="112"/>
      <c r="E29" s="111"/>
      <c r="F29" s="415"/>
      <c r="H29" s="227"/>
      <c r="I29" s="227"/>
    </row>
    <row r="30" spans="1:17" s="8" customFormat="1" ht="15" thickTop="1" thickBot="1">
      <c r="A30" s="44" t="s">
        <v>188</v>
      </c>
      <c r="B30" s="42" t="s">
        <v>189</v>
      </c>
      <c r="C30" s="42" t="s">
        <v>530</v>
      </c>
      <c r="D30" s="42"/>
      <c r="E30" s="229" t="s">
        <v>549</v>
      </c>
      <c r="F30" s="411" t="s">
        <v>109</v>
      </c>
      <c r="H30" s="448" t="s">
        <v>541</v>
      </c>
      <c r="I30" s="449"/>
    </row>
    <row r="31" spans="1:17" ht="14" thickTop="1">
      <c r="A31" s="152">
        <v>4</v>
      </c>
      <c r="B31" s="219"/>
      <c r="C31" s="40"/>
      <c r="D31" s="40" t="s">
        <v>41</v>
      </c>
      <c r="E31" s="40"/>
      <c r="F31" s="427"/>
      <c r="H31" s="63" t="s">
        <v>250</v>
      </c>
      <c r="I31" s="48" t="s">
        <v>542</v>
      </c>
      <c r="J31" t="s">
        <v>482</v>
      </c>
    </row>
    <row r="32" spans="1:17" ht="14" thickBot="1">
      <c r="A32" s="153">
        <v>12</v>
      </c>
      <c r="B32" s="147"/>
      <c r="C32" s="13" t="s">
        <v>418</v>
      </c>
      <c r="D32" s="8" t="s">
        <v>533</v>
      </c>
      <c r="E32" s="13"/>
      <c r="F32" s="428"/>
      <c r="G32" s="8"/>
      <c r="H32" s="20">
        <f>I32*43560</f>
        <v>43560</v>
      </c>
      <c r="I32" s="450">
        <v>1</v>
      </c>
      <c r="J32" s="210" t="s">
        <v>476</v>
      </c>
    </row>
    <row r="33" spans="1:13" ht="14" thickTop="1">
      <c r="A33" s="153">
        <v>6</v>
      </c>
      <c r="B33" s="147"/>
      <c r="C33" s="13" t="s">
        <v>418</v>
      </c>
      <c r="D33" s="8" t="s">
        <v>519</v>
      </c>
      <c r="E33" s="13"/>
      <c r="F33" s="428"/>
      <c r="G33" s="8"/>
      <c r="H33" t="s">
        <v>599</v>
      </c>
      <c r="J33" s="210" t="s">
        <v>509</v>
      </c>
    </row>
    <row r="34" spans="1:13" ht="14" thickBot="1">
      <c r="A34" s="153">
        <v>10000</v>
      </c>
      <c r="B34" s="147"/>
      <c r="C34" s="13" t="s">
        <v>250</v>
      </c>
      <c r="D34" s="8" t="s">
        <v>540</v>
      </c>
      <c r="E34" s="220"/>
      <c r="F34" s="428"/>
      <c r="H34" s="20"/>
      <c r="I34" s="228"/>
      <c r="J34" s="213" t="s">
        <v>508</v>
      </c>
    </row>
    <row r="35" spans="1:13" ht="14" thickTop="1">
      <c r="A35" s="153">
        <v>1000</v>
      </c>
      <c r="B35" s="217">
        <v>0</v>
      </c>
      <c r="C35" s="13" t="s">
        <v>250</v>
      </c>
      <c r="D35" s="13" t="s">
        <v>177</v>
      </c>
      <c r="E35" s="26">
        <f t="shared" ref="E35:E43" si="0">B35-A35</f>
        <v>-1000</v>
      </c>
      <c r="F35" s="412">
        <f t="shared" ref="F35:F43" si="1">IFERROR((B35-A35)/A35,"~  ")</f>
        <v>-1</v>
      </c>
      <c r="G35" s="8"/>
      <c r="J35" t="s">
        <v>510</v>
      </c>
    </row>
    <row r="36" spans="1:13">
      <c r="A36" s="153">
        <v>2000</v>
      </c>
      <c r="B36" s="217">
        <v>2500</v>
      </c>
      <c r="C36" s="13" t="s">
        <v>250</v>
      </c>
      <c r="D36" s="13" t="s">
        <v>45</v>
      </c>
      <c r="E36" s="26">
        <f t="shared" si="0"/>
        <v>500</v>
      </c>
      <c r="F36" s="412">
        <f t="shared" si="1"/>
        <v>0.25</v>
      </c>
      <c r="G36" s="8"/>
      <c r="J36" t="s">
        <v>510</v>
      </c>
    </row>
    <row r="37" spans="1:13">
      <c r="A37" s="153">
        <v>2000</v>
      </c>
      <c r="B37" s="217">
        <v>2000</v>
      </c>
      <c r="C37" s="13" t="s">
        <v>250</v>
      </c>
      <c r="D37" s="8" t="s">
        <v>544</v>
      </c>
      <c r="E37" s="26">
        <f t="shared" si="0"/>
        <v>0</v>
      </c>
      <c r="F37" s="412">
        <f t="shared" si="1"/>
        <v>0</v>
      </c>
      <c r="G37" s="8"/>
      <c r="H37" t="s">
        <v>543</v>
      </c>
      <c r="J37" s="213" t="s">
        <v>508</v>
      </c>
    </row>
    <row r="38" spans="1:13">
      <c r="A38" s="153">
        <v>500</v>
      </c>
      <c r="B38" s="217">
        <v>2000</v>
      </c>
      <c r="C38" s="13" t="s">
        <v>250</v>
      </c>
      <c r="D38" s="8" t="s">
        <v>546</v>
      </c>
      <c r="E38" s="26">
        <f t="shared" si="0"/>
        <v>1500</v>
      </c>
      <c r="F38" s="412">
        <f t="shared" si="1"/>
        <v>3</v>
      </c>
      <c r="G38" s="8"/>
      <c r="J38" s="213" t="s">
        <v>508</v>
      </c>
    </row>
    <row r="39" spans="1:13">
      <c r="A39" s="153">
        <v>500</v>
      </c>
      <c r="B39" s="217">
        <v>200</v>
      </c>
      <c r="C39" s="13" t="s">
        <v>250</v>
      </c>
      <c r="D39" s="8" t="s">
        <v>539</v>
      </c>
      <c r="E39" s="26">
        <f t="shared" si="0"/>
        <v>-300</v>
      </c>
      <c r="F39" s="412">
        <f t="shared" si="1"/>
        <v>-0.6</v>
      </c>
      <c r="G39" s="8"/>
      <c r="J39" s="213"/>
    </row>
    <row r="40" spans="1:13">
      <c r="A40" s="153">
        <v>50</v>
      </c>
      <c r="B40" s="217">
        <v>100</v>
      </c>
      <c r="C40" s="13" t="s">
        <v>250</v>
      </c>
      <c r="D40" s="8" t="s">
        <v>545</v>
      </c>
      <c r="E40" s="26">
        <f t="shared" si="0"/>
        <v>50</v>
      </c>
      <c r="F40" s="412">
        <f t="shared" si="1"/>
        <v>1</v>
      </c>
      <c r="G40" s="8" t="s">
        <v>535</v>
      </c>
      <c r="J40" t="s">
        <v>510</v>
      </c>
    </row>
    <row r="41" spans="1:13">
      <c r="A41" s="153">
        <v>100</v>
      </c>
      <c r="B41" s="217">
        <v>1000</v>
      </c>
      <c r="C41" s="13" t="s">
        <v>250</v>
      </c>
      <c r="D41" s="31" t="s">
        <v>551</v>
      </c>
      <c r="E41" s="26">
        <f t="shared" si="0"/>
        <v>900</v>
      </c>
      <c r="F41" s="412">
        <f t="shared" si="1"/>
        <v>9</v>
      </c>
      <c r="G41" s="8"/>
      <c r="J41" s="213"/>
    </row>
    <row r="42" spans="1:13">
      <c r="A42" s="153">
        <v>100</v>
      </c>
      <c r="B42" s="217">
        <v>130000</v>
      </c>
      <c r="C42" s="13" t="s">
        <v>250</v>
      </c>
      <c r="D42" s="31" t="s">
        <v>547</v>
      </c>
      <c r="E42" s="26">
        <f t="shared" si="0"/>
        <v>129900</v>
      </c>
      <c r="F42" s="412">
        <f t="shared" si="1"/>
        <v>1299</v>
      </c>
      <c r="G42" s="8"/>
      <c r="J42" s="213" t="s">
        <v>511</v>
      </c>
      <c r="M42" t="s">
        <v>520</v>
      </c>
    </row>
    <row r="43" spans="1:13">
      <c r="A43" s="153">
        <v>60</v>
      </c>
      <c r="B43" s="217">
        <v>20</v>
      </c>
      <c r="C43" s="13" t="s">
        <v>47</v>
      </c>
      <c r="D43" s="49" t="s">
        <v>46</v>
      </c>
      <c r="E43" s="26">
        <f t="shared" ref="E43" si="2">B43-A43</f>
        <v>-40</v>
      </c>
      <c r="F43" s="412">
        <f t="shared" ref="F43" si="3">IFERROR((B43-A43)/A43,"~  ")</f>
        <v>-0.66666666666666663</v>
      </c>
      <c r="G43" s="8"/>
      <c r="J43" s="213" t="s">
        <v>512</v>
      </c>
    </row>
    <row r="44" spans="1:13">
      <c r="A44" s="55">
        <v>18</v>
      </c>
      <c r="B44" s="147"/>
      <c r="C44" s="7" t="s">
        <v>403</v>
      </c>
      <c r="D44" s="8" t="s">
        <v>402</v>
      </c>
      <c r="F44" s="428"/>
      <c r="G44" s="8"/>
      <c r="J44" s="213" t="s">
        <v>506</v>
      </c>
    </row>
    <row r="45" spans="1:13">
      <c r="A45" s="55">
        <v>6</v>
      </c>
      <c r="B45" s="147"/>
      <c r="C45" s="7" t="s">
        <v>403</v>
      </c>
      <c r="D45" s="8" t="s">
        <v>43</v>
      </c>
      <c r="F45" s="428"/>
      <c r="G45" s="8"/>
      <c r="J45" s="213" t="s">
        <v>507</v>
      </c>
    </row>
    <row r="46" spans="1:13">
      <c r="A46" s="55">
        <v>1</v>
      </c>
      <c r="B46" s="147"/>
      <c r="C46" s="7" t="s">
        <v>7</v>
      </c>
      <c r="D46" s="8" t="s">
        <v>44</v>
      </c>
      <c r="F46" s="428"/>
      <c r="G46" s="8"/>
      <c r="J46" s="213" t="s">
        <v>505</v>
      </c>
    </row>
    <row r="47" spans="1:13" ht="14" thickBot="1">
      <c r="A47" s="145"/>
      <c r="B47" s="218"/>
      <c r="C47" s="18"/>
      <c r="D47" s="22"/>
      <c r="E47" s="43"/>
      <c r="F47" s="430"/>
      <c r="G47" s="8"/>
    </row>
    <row r="48" spans="1:13" ht="15" thickTop="1" thickBot="1">
      <c r="A48" s="144"/>
      <c r="B48" s="7"/>
      <c r="C48" s="8"/>
      <c r="D48" s="42"/>
    </row>
    <row r="49" spans="1:16" s="8" customFormat="1" ht="15" thickTop="1" thickBot="1">
      <c r="A49" s="385" t="s">
        <v>186</v>
      </c>
      <c r="B49" s="386"/>
      <c r="C49" s="386"/>
      <c r="D49" s="386"/>
      <c r="E49" s="387"/>
      <c r="F49" s="438"/>
      <c r="G49" s="12"/>
    </row>
    <row r="50" spans="1:16" s="8" customFormat="1" ht="14" thickTop="1">
      <c r="A50" s="383" t="s">
        <v>528</v>
      </c>
      <c r="B50" s="388" t="s">
        <v>529</v>
      </c>
      <c r="C50" s="389" t="s">
        <v>154</v>
      </c>
      <c r="D50" s="390" t="s">
        <v>378</v>
      </c>
      <c r="E50" s="393" t="s">
        <v>110</v>
      </c>
      <c r="F50" s="439" t="s">
        <v>109</v>
      </c>
      <c r="G50" s="12"/>
    </row>
    <row r="51" spans="1:16" s="31" customFormat="1">
      <c r="A51" s="392" t="s">
        <v>521</v>
      </c>
      <c r="B51" s="388"/>
      <c r="C51" s="388"/>
      <c r="D51" s="388"/>
      <c r="E51" s="393"/>
      <c r="F51" s="439"/>
      <c r="G51" s="379"/>
    </row>
    <row r="52" spans="1:16" s="31" customFormat="1">
      <c r="A52" s="381">
        <f>A102</f>
        <v>106560.00000000001</v>
      </c>
      <c r="B52" s="394">
        <f>B79+B80</f>
        <v>105098.73600000002</v>
      </c>
      <c r="C52" s="394" t="s">
        <v>133</v>
      </c>
      <c r="D52" s="394" t="str">
        <f>D102</f>
        <v>Metered water usage</v>
      </c>
      <c r="E52" s="395">
        <f>B52-A52</f>
        <v>-1461.2639999999956</v>
      </c>
      <c r="F52" s="440">
        <f>IFERROR((B52-A52)/A52,"~  ")</f>
        <v>-1.3713063063063019E-2</v>
      </c>
      <c r="G52" s="139" t="s">
        <v>536</v>
      </c>
      <c r="M52" s="26" t="str">
        <f t="shared" ref="M52:M57" si="4">D52</f>
        <v>Metered water usage</v>
      </c>
      <c r="N52" s="26">
        <f t="shared" ref="N52:N57" si="5">A52</f>
        <v>106560.00000000001</v>
      </c>
      <c r="O52" s="26" t="str">
        <f t="shared" ref="O52:O57" si="6">M52</f>
        <v>Metered water usage</v>
      </c>
      <c r="P52" s="26">
        <f t="shared" ref="P52:P57" si="7">B52</f>
        <v>105098.73600000002</v>
      </c>
    </row>
    <row r="53" spans="1:16" s="31" customFormat="1">
      <c r="A53" s="382">
        <f>A140-A138</f>
        <v>13429.665000000001</v>
      </c>
      <c r="B53" s="396">
        <f>B140-B138</f>
        <v>27328.050000000003</v>
      </c>
      <c r="C53" s="396" t="s">
        <v>133</v>
      </c>
      <c r="D53" s="396" t="s">
        <v>527</v>
      </c>
      <c r="E53" s="397">
        <f t="shared" ref="E53:E58" si="8">B53-A53</f>
        <v>13898.385000000002</v>
      </c>
      <c r="F53" s="441">
        <f t="shared" ref="F53:F58" si="9">IFERROR((B53-A53)/A53,"~  ")</f>
        <v>1.0349018385789968</v>
      </c>
      <c r="G53" s="139"/>
      <c r="M53" s="26" t="str">
        <f t="shared" si="4"/>
        <v>Rainfall from sky utilized by plants</v>
      </c>
      <c r="N53" s="26">
        <f t="shared" si="5"/>
        <v>13429.665000000001</v>
      </c>
      <c r="O53" s="26" t="str">
        <f t="shared" si="6"/>
        <v>Rainfall from sky utilized by plants</v>
      </c>
      <c r="P53" s="26">
        <f t="shared" si="7"/>
        <v>27328.050000000003</v>
      </c>
    </row>
    <row r="54" spans="1:16" s="31" customFormat="1">
      <c r="A54" s="382">
        <f>A138</f>
        <v>740.61900000000003</v>
      </c>
      <c r="B54" s="396">
        <f>B138</f>
        <v>11109.284999999998</v>
      </c>
      <c r="C54" s="396" t="s">
        <v>133</v>
      </c>
      <c r="D54" s="396" t="s">
        <v>522</v>
      </c>
      <c r="E54" s="397">
        <f t="shared" si="8"/>
        <v>10368.665999999997</v>
      </c>
      <c r="F54" s="441">
        <f t="shared" si="9"/>
        <v>13.999999999999996</v>
      </c>
      <c r="G54" s="139"/>
      <c r="M54" s="26" t="str">
        <f t="shared" si="4"/>
        <v>Run-on utilized by plants</v>
      </c>
      <c r="N54" s="26">
        <f t="shared" si="5"/>
        <v>740.61900000000003</v>
      </c>
      <c r="O54" s="26" t="str">
        <f t="shared" si="6"/>
        <v>Run-on utilized by plants</v>
      </c>
      <c r="P54" s="26">
        <f t="shared" si="7"/>
        <v>11109.284999999998</v>
      </c>
    </row>
    <row r="55" spans="1:16" s="31" customFormat="1">
      <c r="A55" s="383">
        <f>A304</f>
        <v>480.16800000000006</v>
      </c>
      <c r="B55" s="398">
        <f>B304</f>
        <v>8298.887999999999</v>
      </c>
      <c r="C55" s="396" t="s">
        <v>133</v>
      </c>
      <c r="D55" s="396" t="str">
        <f>D304</f>
        <v>Effective greywater reuse</v>
      </c>
      <c r="E55" s="397">
        <f t="shared" si="8"/>
        <v>7818.7199999999993</v>
      </c>
      <c r="F55" s="441">
        <f t="shared" si="9"/>
        <v>16.28330084470435</v>
      </c>
      <c r="G55" s="139"/>
      <c r="M55" s="26" t="str">
        <f t="shared" si="4"/>
        <v>Effective greywater reuse</v>
      </c>
      <c r="N55" s="26">
        <f t="shared" si="5"/>
        <v>480.16800000000006</v>
      </c>
      <c r="O55" s="26" t="str">
        <f t="shared" si="6"/>
        <v>Effective greywater reuse</v>
      </c>
      <c r="P55" s="26">
        <f t="shared" si="7"/>
        <v>8298.887999999999</v>
      </c>
    </row>
    <row r="56" spans="1:16" s="31" customFormat="1">
      <c r="A56" s="383">
        <v>0</v>
      </c>
      <c r="B56" s="396">
        <f>A261</f>
        <v>3862.1155068493154</v>
      </c>
      <c r="C56" s="396" t="s">
        <v>133</v>
      </c>
      <c r="D56" s="396" t="s">
        <v>111</v>
      </c>
      <c r="E56" s="397">
        <f t="shared" si="8"/>
        <v>3862.1155068493154</v>
      </c>
      <c r="F56" s="441" t="str">
        <f t="shared" si="9"/>
        <v xml:space="preserve">~  </v>
      </c>
      <c r="G56" s="139"/>
      <c r="M56" s="26" t="str">
        <f t="shared" si="4"/>
        <v>Indoor rainwater use</v>
      </c>
      <c r="N56" s="26">
        <f t="shared" si="5"/>
        <v>0</v>
      </c>
      <c r="O56" s="26" t="str">
        <f t="shared" si="6"/>
        <v>Indoor rainwater use</v>
      </c>
      <c r="P56" s="26">
        <f t="shared" si="7"/>
        <v>3862.1155068493154</v>
      </c>
    </row>
    <row r="57" spans="1:16" s="31" customFormat="1">
      <c r="A57" s="384">
        <v>0</v>
      </c>
      <c r="B57" s="399">
        <v>0</v>
      </c>
      <c r="C57" s="400" t="s">
        <v>133</v>
      </c>
      <c r="D57" s="400" t="s">
        <v>377</v>
      </c>
      <c r="E57" s="401">
        <f t="shared" si="8"/>
        <v>0</v>
      </c>
      <c r="F57" s="442" t="str">
        <f t="shared" si="9"/>
        <v xml:space="preserve">~  </v>
      </c>
      <c r="G57" s="139"/>
      <c r="M57" s="26" t="str">
        <f t="shared" si="4"/>
        <v>Outdoor rainwater use from tanks</v>
      </c>
      <c r="N57" s="26">
        <f t="shared" si="5"/>
        <v>0</v>
      </c>
      <c r="O57" s="26" t="str">
        <f t="shared" si="6"/>
        <v>Outdoor rainwater use from tanks</v>
      </c>
      <c r="P57" s="26">
        <f t="shared" si="7"/>
        <v>0</v>
      </c>
    </row>
    <row r="58" spans="1:16" s="31" customFormat="1">
      <c r="A58" s="383">
        <f>SUM(A52:A57)</f>
        <v>121210.45200000002</v>
      </c>
      <c r="B58" s="398">
        <f>SUM(B52:B57)</f>
        <v>155697.07450684934</v>
      </c>
      <c r="C58" s="396" t="s">
        <v>133</v>
      </c>
      <c r="D58" s="396" t="s">
        <v>524</v>
      </c>
      <c r="E58" s="396">
        <f t="shared" si="8"/>
        <v>34486.622506849322</v>
      </c>
      <c r="F58" s="413">
        <f t="shared" si="9"/>
        <v>0.28451855378651103</v>
      </c>
      <c r="G58" s="139"/>
    </row>
    <row r="59" spans="1:16" s="31" customFormat="1">
      <c r="A59" s="383"/>
      <c r="B59" s="396"/>
      <c r="C59" s="396"/>
      <c r="D59" s="391"/>
      <c r="E59" s="398"/>
      <c r="F59" s="414"/>
      <c r="G59" s="26"/>
    </row>
    <row r="60" spans="1:16" s="31" customFormat="1">
      <c r="A60" s="383"/>
      <c r="B60" s="396"/>
      <c r="C60" s="396"/>
      <c r="D60" s="391"/>
      <c r="E60" s="398"/>
      <c r="F60" s="414"/>
      <c r="G60" s="26"/>
    </row>
    <row r="61" spans="1:16" s="31" customFormat="1">
      <c r="A61" s="383"/>
      <c r="B61" s="396"/>
      <c r="C61" s="396"/>
      <c r="D61" s="391"/>
      <c r="E61" s="398"/>
      <c r="F61" s="414"/>
      <c r="G61" s="26"/>
    </row>
    <row r="62" spans="1:16" s="31" customFormat="1">
      <c r="A62" s="383"/>
      <c r="B62" s="396"/>
      <c r="C62" s="396"/>
      <c r="D62" s="391"/>
      <c r="E62" s="398"/>
      <c r="F62" s="414"/>
      <c r="G62" s="26"/>
    </row>
    <row r="63" spans="1:16" s="31" customFormat="1">
      <c r="A63" s="383"/>
      <c r="B63" s="396"/>
      <c r="C63" s="396"/>
      <c r="D63" s="391"/>
      <c r="E63" s="398"/>
      <c r="F63" s="414"/>
      <c r="G63" s="26"/>
    </row>
    <row r="64" spans="1:16" s="31" customFormat="1">
      <c r="A64" s="383"/>
      <c r="B64" s="396"/>
      <c r="C64" s="396"/>
      <c r="D64" s="391"/>
      <c r="E64" s="398"/>
      <c r="F64" s="414"/>
      <c r="G64" s="26"/>
    </row>
    <row r="65" spans="1:7" s="31" customFormat="1">
      <c r="A65" s="383"/>
      <c r="B65" s="396"/>
      <c r="C65" s="396"/>
      <c r="D65" s="391"/>
      <c r="E65" s="398"/>
      <c r="F65" s="414"/>
      <c r="G65" s="26"/>
    </row>
    <row r="66" spans="1:7" s="31" customFormat="1">
      <c r="A66" s="383"/>
      <c r="B66" s="396"/>
      <c r="C66" s="396"/>
      <c r="D66" s="391"/>
      <c r="E66" s="398"/>
      <c r="F66" s="414"/>
      <c r="G66" s="26"/>
    </row>
    <row r="67" spans="1:7" s="31" customFormat="1">
      <c r="A67" s="383"/>
      <c r="B67" s="396"/>
      <c r="C67" s="396"/>
      <c r="D67" s="391"/>
      <c r="E67" s="398"/>
      <c r="F67" s="414"/>
      <c r="G67" s="26"/>
    </row>
    <row r="68" spans="1:7" s="31" customFormat="1">
      <c r="A68" s="383"/>
      <c r="B68" s="396"/>
      <c r="C68" s="396"/>
      <c r="D68" s="391"/>
      <c r="E68" s="398"/>
      <c r="F68" s="414"/>
      <c r="G68" s="26"/>
    </row>
    <row r="69" spans="1:7" s="31" customFormat="1">
      <c r="A69" s="383"/>
      <c r="B69" s="396"/>
      <c r="C69" s="396"/>
      <c r="D69" s="391"/>
      <c r="E69" s="398"/>
      <c r="F69" s="414"/>
      <c r="G69" s="26"/>
    </row>
    <row r="70" spans="1:7" s="31" customFormat="1">
      <c r="A70" s="383"/>
      <c r="B70" s="396"/>
      <c r="C70" s="396"/>
      <c r="D70" s="391"/>
      <c r="E70" s="398"/>
      <c r="F70" s="414"/>
      <c r="G70" s="26"/>
    </row>
    <row r="71" spans="1:7" s="31" customFormat="1">
      <c r="A71" s="383"/>
      <c r="B71" s="396"/>
      <c r="C71" s="396"/>
      <c r="D71" s="391"/>
      <c r="E71" s="398"/>
      <c r="F71" s="414"/>
      <c r="G71" s="26"/>
    </row>
    <row r="72" spans="1:7" s="31" customFormat="1">
      <c r="A72" s="383"/>
      <c r="B72" s="396"/>
      <c r="C72" s="396"/>
      <c r="D72" s="391"/>
      <c r="E72" s="398"/>
      <c r="F72" s="414"/>
      <c r="G72" s="26"/>
    </row>
    <row r="73" spans="1:7" s="31" customFormat="1">
      <c r="A73" s="383"/>
      <c r="B73" s="396"/>
      <c r="C73" s="396"/>
      <c r="D73" s="391"/>
      <c r="E73" s="398"/>
      <c r="F73" s="414"/>
      <c r="G73" s="26"/>
    </row>
    <row r="74" spans="1:7" s="31" customFormat="1">
      <c r="A74" s="383"/>
      <c r="B74" s="396"/>
      <c r="C74" s="396"/>
      <c r="D74" s="391"/>
      <c r="E74" s="398"/>
      <c r="F74" s="414"/>
      <c r="G74" s="26"/>
    </row>
    <row r="75" spans="1:7" s="31" customFormat="1">
      <c r="A75" s="383"/>
      <c r="B75" s="396"/>
      <c r="C75" s="396"/>
      <c r="D75" s="391"/>
      <c r="E75" s="398"/>
      <c r="F75" s="414"/>
      <c r="G75" s="26"/>
    </row>
    <row r="76" spans="1:7" s="31" customFormat="1">
      <c r="A76" s="383"/>
      <c r="B76" s="396"/>
      <c r="C76" s="396"/>
      <c r="D76" s="391"/>
      <c r="E76" s="398"/>
      <c r="F76" s="414"/>
      <c r="G76" s="26"/>
    </row>
    <row r="77" spans="1:7" s="31" customFormat="1">
      <c r="A77" s="383"/>
      <c r="B77" s="396"/>
      <c r="C77" s="396"/>
      <c r="D77" s="391"/>
      <c r="E77" s="398"/>
      <c r="F77" s="414"/>
      <c r="G77" s="26"/>
    </row>
    <row r="78" spans="1:7" s="31" customFormat="1">
      <c r="A78" s="402" t="s">
        <v>518</v>
      </c>
      <c r="B78" s="396"/>
      <c r="C78" s="396"/>
      <c r="D78" s="391"/>
      <c r="E78" s="398"/>
      <c r="F78" s="414"/>
      <c r="G78" s="26"/>
    </row>
    <row r="79" spans="1:7" s="31" customFormat="1">
      <c r="A79" s="383">
        <f>A110</f>
        <v>53352</v>
      </c>
      <c r="B79" s="396">
        <f>A79-A285</f>
        <v>44708.975999999995</v>
      </c>
      <c r="C79" s="398" t="str">
        <f>C110</f>
        <v>gpy</v>
      </c>
      <c r="D79" s="398" t="str">
        <f>D110</f>
        <v>Indoor metered water use</v>
      </c>
      <c r="E79" s="397">
        <f>B79-A79</f>
        <v>-8643.0240000000049</v>
      </c>
      <c r="F79" s="441">
        <f>IFERROR((B79-A79)/A79,"~  ")</f>
        <v>-0.16200000000000009</v>
      </c>
      <c r="G79" s="139"/>
    </row>
    <row r="80" spans="1:7" s="31" customFormat="1">
      <c r="A80" s="383">
        <f>A109</f>
        <v>53208.000000000022</v>
      </c>
      <c r="B80" s="396">
        <f>A80-E83</f>
        <v>60389.760000000024</v>
      </c>
      <c r="C80" s="398" t="str">
        <f>C109</f>
        <v>gpy</v>
      </c>
      <c r="D80" s="398" t="str">
        <f>D109</f>
        <v>Outdoor metered water use</v>
      </c>
      <c r="E80" s="397">
        <f>B80-A80</f>
        <v>7181.760000000002</v>
      </c>
      <c r="F80" s="441">
        <f>IFERROR((B80-A80)/A80,"~  ")</f>
        <v>0.13497519170049616</v>
      </c>
      <c r="G80" s="139"/>
    </row>
    <row r="81" spans="1:17" s="31" customFormat="1">
      <c r="A81" s="403">
        <f>A272</f>
        <v>36.542465753424658</v>
      </c>
      <c r="B81" s="404">
        <f>B272</f>
        <v>20.756120547945205</v>
      </c>
      <c r="C81" s="396" t="str">
        <f>C272</f>
        <v>gpdc</v>
      </c>
      <c r="D81" s="396" t="str">
        <f>D272</f>
        <v>Estimated indoor usage</v>
      </c>
      <c r="E81" s="397">
        <f>B81-A81</f>
        <v>-15.786345205479453</v>
      </c>
      <c r="F81" s="441">
        <f>IFERROR((B81-A81)/A81,"~  ")</f>
        <v>-0.432</v>
      </c>
      <c r="G81" s="139"/>
    </row>
    <row r="82" spans="1:17" s="31" customFormat="1">
      <c r="A82" s="403">
        <f>A104</f>
        <v>72.986301369863028</v>
      </c>
      <c r="B82" s="404">
        <f>(B52/365)/A31</f>
        <v>71.985435616438366</v>
      </c>
      <c r="C82" s="396" t="str">
        <f>C104</f>
        <v>gpd/capita</v>
      </c>
      <c r="D82" s="396" t="str">
        <f>D104</f>
        <v>av daily usage</v>
      </c>
      <c r="E82" s="397">
        <f>B82-A82</f>
        <v>-1.0008657534246623</v>
      </c>
      <c r="F82" s="441">
        <f>IFERROR((B82-A82)/A82,"~  ")</f>
        <v>-1.3713063063063125E-2</v>
      </c>
      <c r="G82" s="139"/>
    </row>
    <row r="83" spans="1:17" s="31" customFormat="1">
      <c r="A83" s="383">
        <f>A360</f>
        <v>18552.88</v>
      </c>
      <c r="B83" s="396">
        <f>A370</f>
        <v>11371.12</v>
      </c>
      <c r="C83" s="398" t="str">
        <f>C360</f>
        <v>gal/yr</v>
      </c>
      <c r="D83" s="398" t="s">
        <v>108</v>
      </c>
      <c r="E83" s="397">
        <f>B83-A83</f>
        <v>-7181.76</v>
      </c>
      <c r="F83" s="441">
        <f>IFERROR((B83-A83)/A83,"~  ")</f>
        <v>-0.38709677419354838</v>
      </c>
      <c r="G83" s="139"/>
      <c r="H83" s="140"/>
    </row>
    <row r="84" spans="1:17" s="31" customFormat="1">
      <c r="A84" s="383"/>
      <c r="B84" s="398"/>
      <c r="C84" s="396"/>
      <c r="D84" s="396"/>
      <c r="E84" s="397"/>
      <c r="F84" s="441"/>
      <c r="G84" s="380"/>
    </row>
    <row r="85" spans="1:17" s="142" customFormat="1">
      <c r="A85" s="405" t="s">
        <v>119</v>
      </c>
      <c r="B85" s="406"/>
      <c r="C85" s="406"/>
      <c r="D85" s="406"/>
      <c r="E85" s="407"/>
      <c r="F85" s="443"/>
      <c r="G85" s="380"/>
      <c r="J85" s="31"/>
      <c r="K85" s="31"/>
      <c r="L85" s="31"/>
      <c r="M85" s="31"/>
      <c r="N85" s="31"/>
    </row>
    <row r="86" spans="1:17" s="31" customFormat="1">
      <c r="A86" s="382">
        <v>0</v>
      </c>
      <c r="B86" s="396">
        <f>A187+A216</f>
        <v>34232.46</v>
      </c>
      <c r="C86" s="396" t="s">
        <v>133</v>
      </c>
      <c r="D86" s="396" t="s">
        <v>120</v>
      </c>
      <c r="E86" s="397">
        <f>B86-A86</f>
        <v>34232.46</v>
      </c>
      <c r="F86" s="441" t="str">
        <f>IFERROR((B86-A86)/A86,"~  ")</f>
        <v xml:space="preserve">~  </v>
      </c>
      <c r="G86" s="139"/>
      <c r="J86" s="142"/>
      <c r="K86" s="142"/>
      <c r="L86" s="142"/>
      <c r="M86" s="142"/>
      <c r="N86" s="142"/>
    </row>
    <row r="87" spans="1:17" s="31" customFormat="1">
      <c r="A87" s="382">
        <v>0</v>
      </c>
      <c r="B87" s="396" t="e">
        <f>B86+E56+#REF!</f>
        <v>#REF!</v>
      </c>
      <c r="C87" s="396" t="s">
        <v>133</v>
      </c>
      <c r="D87" s="388" t="s">
        <v>121</v>
      </c>
      <c r="E87" s="397" t="e">
        <f>B87-A87</f>
        <v>#REF!</v>
      </c>
      <c r="F87" s="441" t="str">
        <f>IFERROR((B87-A87)/A87,"~  ")</f>
        <v xml:space="preserve">~  </v>
      </c>
      <c r="G87" s="139"/>
    </row>
    <row r="88" spans="1:17" s="31" customFormat="1">
      <c r="A88" s="405" t="s">
        <v>191</v>
      </c>
      <c r="B88" s="406"/>
      <c r="C88" s="396"/>
      <c r="D88" s="396"/>
      <c r="E88" s="396" t="s">
        <v>486</v>
      </c>
      <c r="F88" s="413"/>
      <c r="G88" s="139"/>
    </row>
    <row r="89" spans="1:17" s="31" customFormat="1">
      <c r="A89" s="382">
        <v>100</v>
      </c>
      <c r="B89" s="396">
        <v>500</v>
      </c>
      <c r="C89" s="396" t="s">
        <v>320</v>
      </c>
      <c r="D89" s="396" t="s">
        <v>0</v>
      </c>
      <c r="E89" s="396">
        <f>B89-A89</f>
        <v>400</v>
      </c>
      <c r="F89" s="413">
        <f>IFERROR((B89-A89)/A89,"~  ")</f>
        <v>4</v>
      </c>
      <c r="G89" s="139"/>
    </row>
    <row r="90" spans="1:17" s="31" customFormat="1">
      <c r="A90" s="382"/>
      <c r="B90" s="396"/>
      <c r="C90" s="396"/>
      <c r="D90" s="396"/>
      <c r="E90" s="396"/>
      <c r="F90" s="413"/>
      <c r="G90" s="139"/>
    </row>
    <row r="91" spans="1:17" s="31" customFormat="1">
      <c r="A91" s="405" t="s">
        <v>1</v>
      </c>
      <c r="B91" s="406"/>
      <c r="C91" s="396"/>
      <c r="D91" s="396"/>
      <c r="E91" s="396"/>
      <c r="F91" s="413"/>
      <c r="G91" s="139"/>
    </row>
    <row r="92" spans="1:17" s="31" customFormat="1">
      <c r="A92" s="408">
        <v>5000</v>
      </c>
      <c r="B92" s="409">
        <v>2000</v>
      </c>
      <c r="C92" s="396" t="s">
        <v>320</v>
      </c>
      <c r="D92" s="396" t="s">
        <v>491</v>
      </c>
      <c r="E92" s="396">
        <f>B92-A92</f>
        <v>-3000</v>
      </c>
      <c r="F92" s="413">
        <f>IFERROR((B92-A92)/A92,"~  ")</f>
        <v>-0.6</v>
      </c>
      <c r="G92" s="139"/>
    </row>
    <row r="93" spans="1:17" s="31" customFormat="1" ht="14" thickBot="1">
      <c r="A93" s="444"/>
      <c r="B93" s="445"/>
      <c r="C93" s="446"/>
      <c r="D93" s="446"/>
      <c r="E93" s="446"/>
      <c r="F93" s="447"/>
      <c r="G93" s="380"/>
    </row>
    <row r="94" spans="1:17" s="32" customFormat="1" ht="14" thickTop="1">
      <c r="A94" s="137"/>
      <c r="B94" s="26"/>
      <c r="C94" s="53"/>
      <c r="D94" s="139"/>
      <c r="E94" s="54"/>
      <c r="F94" s="434"/>
      <c r="M94" s="12"/>
      <c r="N94" s="12"/>
      <c r="O94" s="12"/>
      <c r="P94" s="12"/>
      <c r="Q94" s="12"/>
    </row>
    <row r="95" spans="1:17" s="32" customFormat="1">
      <c r="A95" s="225" t="s">
        <v>531</v>
      </c>
      <c r="B95" s="26"/>
      <c r="C95" s="53"/>
      <c r="D95" s="139"/>
      <c r="E95" s="54"/>
      <c r="F95" s="434"/>
      <c r="M95" s="12"/>
      <c r="N95" s="12"/>
      <c r="O95" s="12"/>
      <c r="P95" s="12"/>
      <c r="Q95" s="12"/>
    </row>
    <row r="96" spans="1:17" s="32" customFormat="1" ht="14" thickBot="1">
      <c r="A96" s="137"/>
      <c r="B96" s="137"/>
      <c r="C96" s="26"/>
      <c r="D96" s="53"/>
      <c r="E96" s="139"/>
      <c r="F96" s="410"/>
      <c r="G96" s="54"/>
    </row>
    <row r="97" spans="1:18" s="113" customFormat="1" ht="15" thickTop="1" thickBot="1">
      <c r="A97" s="110" t="s">
        <v>364</v>
      </c>
      <c r="B97" s="110"/>
      <c r="C97" s="111"/>
      <c r="D97" s="111"/>
      <c r="E97" s="112"/>
      <c r="F97" s="415"/>
      <c r="G97" s="111"/>
      <c r="N97" s="378"/>
      <c r="O97" s="378"/>
      <c r="P97" s="378"/>
      <c r="Q97" s="378"/>
      <c r="R97" s="378"/>
    </row>
    <row r="98" spans="1:18" ht="15" thickTop="1" thickBot="1">
      <c r="B98" s="2"/>
      <c r="C98" s="2" t="s">
        <v>398</v>
      </c>
      <c r="D98"/>
      <c r="E98" s="24"/>
      <c r="F98" s="416"/>
      <c r="G98" s="44"/>
      <c r="H98" t="s">
        <v>257</v>
      </c>
      <c r="N98" s="227"/>
      <c r="O98" s="227"/>
      <c r="P98" s="227"/>
      <c r="Q98" s="227"/>
      <c r="R98" s="227"/>
    </row>
    <row r="99" spans="1:18" ht="14" thickTop="1">
      <c r="A99" s="275" t="s">
        <v>255</v>
      </c>
      <c r="B99" s="276"/>
      <c r="C99" s="242"/>
      <c r="D99" s="243"/>
      <c r="E99" s="244"/>
      <c r="F99" s="417"/>
      <c r="G99" s="42" t="s">
        <v>537</v>
      </c>
    </row>
    <row r="100" spans="1:18">
      <c r="A100" s="271">
        <f>A32</f>
        <v>12</v>
      </c>
      <c r="B100" s="277"/>
      <c r="C100" s="234" t="s">
        <v>418</v>
      </c>
      <c r="D100" s="253" t="s">
        <v>532</v>
      </c>
      <c r="E100" s="237"/>
      <c r="F100" s="418"/>
      <c r="G100" s="42"/>
    </row>
    <row r="101" spans="1:18">
      <c r="A101" s="246">
        <f>A32*12</f>
        <v>144</v>
      </c>
      <c r="B101" s="238"/>
      <c r="C101" s="263" t="s">
        <v>3</v>
      </c>
      <c r="D101" s="235"/>
      <c r="E101" s="237"/>
      <c r="F101" s="418"/>
      <c r="G101" s="42"/>
    </row>
    <row r="102" spans="1:18">
      <c r="A102" s="264">
        <f>A101*7.4*100</f>
        <v>106560.00000000001</v>
      </c>
      <c r="B102" s="278"/>
      <c r="C102" s="252" t="s">
        <v>133</v>
      </c>
      <c r="D102" s="279" t="s">
        <v>33</v>
      </c>
      <c r="E102" s="237"/>
      <c r="F102" s="418"/>
      <c r="G102" s="42"/>
    </row>
    <row r="103" spans="1:18">
      <c r="A103" s="246">
        <f>A102/365</f>
        <v>291.94520547945211</v>
      </c>
      <c r="B103" s="238"/>
      <c r="C103" s="252" t="s">
        <v>131</v>
      </c>
      <c r="D103" s="235" t="s">
        <v>375</v>
      </c>
      <c r="E103" s="237"/>
      <c r="F103" s="418"/>
      <c r="G103" s="42"/>
    </row>
    <row r="104" spans="1:18">
      <c r="A104" s="246">
        <f>A103/A31</f>
        <v>72.986301369863028</v>
      </c>
      <c r="B104" s="238"/>
      <c r="C104" s="252" t="s">
        <v>132</v>
      </c>
      <c r="D104" s="235" t="s">
        <v>375</v>
      </c>
      <c r="E104" s="237"/>
      <c r="F104" s="418"/>
      <c r="G104" s="42"/>
    </row>
    <row r="105" spans="1:18">
      <c r="A105" s="246">
        <f>A33</f>
        <v>6</v>
      </c>
      <c r="B105" s="238"/>
      <c r="C105" s="252" t="s">
        <v>418</v>
      </c>
      <c r="D105" s="279" t="s">
        <v>31</v>
      </c>
      <c r="E105" s="237"/>
      <c r="F105" s="418"/>
      <c r="G105" s="42"/>
    </row>
    <row r="106" spans="1:18">
      <c r="A106" s="280">
        <f>(A105*741*12)/365</f>
        <v>146.16986301369863</v>
      </c>
      <c r="B106" s="281"/>
      <c r="C106" s="252" t="s">
        <v>131</v>
      </c>
      <c r="D106" s="279" t="s">
        <v>31</v>
      </c>
      <c r="E106" s="237"/>
      <c r="F106" s="418"/>
      <c r="G106" s="42"/>
    </row>
    <row r="107" spans="1:18">
      <c r="A107" s="282">
        <f>A106/A103</f>
        <v>0.50067567567567561</v>
      </c>
      <c r="B107" s="283"/>
      <c r="C107" s="252"/>
      <c r="D107" s="284" t="s">
        <v>134</v>
      </c>
      <c r="E107" s="237"/>
      <c r="F107" s="418"/>
      <c r="G107" s="42"/>
    </row>
    <row r="108" spans="1:18">
      <c r="A108" s="246">
        <f>A103-A106</f>
        <v>145.77534246575348</v>
      </c>
      <c r="B108" s="238"/>
      <c r="C108" s="252" t="s">
        <v>131</v>
      </c>
      <c r="D108" s="235" t="s">
        <v>32</v>
      </c>
      <c r="E108" s="237"/>
      <c r="F108" s="418"/>
      <c r="G108" s="42"/>
    </row>
    <row r="109" spans="1:18">
      <c r="A109" s="246">
        <f>A108*365</f>
        <v>53208.000000000022</v>
      </c>
      <c r="B109" s="238"/>
      <c r="C109" s="234" t="s">
        <v>133</v>
      </c>
      <c r="D109" s="285" t="s">
        <v>525</v>
      </c>
      <c r="E109" s="237"/>
      <c r="F109" s="418"/>
      <c r="G109" s="42"/>
    </row>
    <row r="110" spans="1:18" ht="14" thickBot="1">
      <c r="A110" s="247">
        <f>A106*365</f>
        <v>53352</v>
      </c>
      <c r="B110" s="249"/>
      <c r="C110" s="260" t="s">
        <v>133</v>
      </c>
      <c r="D110" s="286" t="s">
        <v>526</v>
      </c>
      <c r="E110" s="287"/>
      <c r="F110" s="419"/>
      <c r="G110" s="42"/>
    </row>
    <row r="111" spans="1:18" ht="15" thickTop="1" thickBot="1">
      <c r="A111" s="13"/>
      <c r="B111" s="13"/>
      <c r="C111" s="7"/>
      <c r="D111" s="216"/>
      <c r="F111" s="420"/>
      <c r="G111" s="42"/>
    </row>
    <row r="112" spans="1:18" ht="14" thickTop="1">
      <c r="A112" s="240" t="s">
        <v>555</v>
      </c>
      <c r="B112" s="241"/>
      <c r="C112" s="242"/>
      <c r="D112" s="243"/>
      <c r="E112" s="479"/>
      <c r="F112" s="417"/>
      <c r="G112" s="42"/>
    </row>
    <row r="113" spans="1:18">
      <c r="A113" s="245" t="s">
        <v>188</v>
      </c>
      <c r="B113" s="233" t="s">
        <v>189</v>
      </c>
      <c r="C113" s="234"/>
      <c r="D113" s="235"/>
      <c r="E113" s="480"/>
      <c r="F113" s="418"/>
      <c r="G113" s="42"/>
    </row>
    <row r="114" spans="1:18" s="3" customFormat="1">
      <c r="A114" s="246">
        <f>A34</f>
        <v>10000</v>
      </c>
      <c r="B114" s="238">
        <f>A114</f>
        <v>10000</v>
      </c>
      <c r="C114" s="238" t="str">
        <f>C34</f>
        <v>ft2</v>
      </c>
      <c r="D114" s="238" t="str">
        <f>D34</f>
        <v xml:space="preserve">Area of lot </v>
      </c>
      <c r="E114" s="26">
        <f t="shared" ref="E114:E122" si="10">B114-A114</f>
        <v>0</v>
      </c>
      <c r="F114" s="421">
        <f t="shared" ref="F114:F122" si="11">IFERROR((B114-A114)/A114,"~  ")</f>
        <v>0</v>
      </c>
      <c r="G114" s="139"/>
      <c r="N114"/>
      <c r="O114"/>
      <c r="P114"/>
      <c r="Q114"/>
      <c r="R114"/>
    </row>
    <row r="115" spans="1:18">
      <c r="A115" s="246">
        <f t="shared" ref="A115:D118" si="12">A37</f>
        <v>2000</v>
      </c>
      <c r="B115" s="238">
        <f t="shared" si="12"/>
        <v>2000</v>
      </c>
      <c r="C115" s="238" t="str">
        <f t="shared" si="12"/>
        <v>ft2</v>
      </c>
      <c r="D115" s="238" t="str">
        <f t="shared" si="12"/>
        <v>Area of roof</v>
      </c>
      <c r="E115" s="26">
        <f t="shared" si="10"/>
        <v>0</v>
      </c>
      <c r="F115" s="421">
        <f t="shared" si="11"/>
        <v>0</v>
      </c>
      <c r="G115" s="139"/>
    </row>
    <row r="116" spans="1:18">
      <c r="A116" s="246">
        <f t="shared" si="12"/>
        <v>500</v>
      </c>
      <c r="B116" s="238">
        <f t="shared" si="12"/>
        <v>2000</v>
      </c>
      <c r="C116" s="238" t="str">
        <f t="shared" si="12"/>
        <v>ft2</v>
      </c>
      <c r="D116" s="238" t="str">
        <f t="shared" si="12"/>
        <v>Area of roof to infiltration</v>
      </c>
      <c r="E116" s="26">
        <f t="shared" si="10"/>
        <v>1500</v>
      </c>
      <c r="F116" s="421">
        <f t="shared" si="11"/>
        <v>3</v>
      </c>
      <c r="G116" s="139" t="s">
        <v>548</v>
      </c>
    </row>
    <row r="117" spans="1:18">
      <c r="A117" s="246">
        <f t="shared" si="12"/>
        <v>500</v>
      </c>
      <c r="B117" s="238">
        <f t="shared" si="12"/>
        <v>200</v>
      </c>
      <c r="C117" s="238" t="str">
        <f t="shared" si="12"/>
        <v>ft2</v>
      </c>
      <c r="D117" s="238" t="str">
        <f t="shared" si="12"/>
        <v>Area of hardscape</v>
      </c>
      <c r="E117" s="26">
        <f t="shared" si="10"/>
        <v>-300</v>
      </c>
      <c r="F117" s="421">
        <f t="shared" si="11"/>
        <v>-0.6</v>
      </c>
      <c r="G117" s="42"/>
    </row>
    <row r="118" spans="1:18">
      <c r="A118" s="246">
        <f t="shared" si="12"/>
        <v>50</v>
      </c>
      <c r="B118" s="238">
        <f t="shared" si="12"/>
        <v>100</v>
      </c>
      <c r="C118" s="238" t="str">
        <f t="shared" si="12"/>
        <v>ft2</v>
      </c>
      <c r="D118" s="238" t="str">
        <f t="shared" si="12"/>
        <v>Area of hardscape to infiltration</v>
      </c>
      <c r="E118" s="26">
        <f t="shared" si="10"/>
        <v>50</v>
      </c>
      <c r="F118" s="421">
        <f t="shared" si="11"/>
        <v>1</v>
      </c>
      <c r="G118" s="42"/>
    </row>
    <row r="119" spans="1:18">
      <c r="A119" s="246">
        <f>A114-A115-A117</f>
        <v>7500</v>
      </c>
      <c r="B119" s="238">
        <f>B114-B115-B117</f>
        <v>7800</v>
      </c>
      <c r="C119" s="238"/>
      <c r="D119" s="238" t="s">
        <v>552</v>
      </c>
      <c r="E119" s="26">
        <f t="shared" si="10"/>
        <v>300</v>
      </c>
      <c r="F119" s="421">
        <f t="shared" si="11"/>
        <v>0.04</v>
      </c>
      <c r="G119" s="42"/>
    </row>
    <row r="120" spans="1:18">
      <c r="A120" s="246">
        <f t="shared" ref="A120:D120" si="13">A41</f>
        <v>100</v>
      </c>
      <c r="B120" s="238">
        <f t="shared" si="13"/>
        <v>1000</v>
      </c>
      <c r="C120" s="238" t="str">
        <f t="shared" si="13"/>
        <v>ft2</v>
      </c>
      <c r="D120" s="238" t="str">
        <f t="shared" si="13"/>
        <v>Area developed for infiltration</v>
      </c>
      <c r="E120" s="26">
        <f t="shared" si="10"/>
        <v>900</v>
      </c>
      <c r="F120" s="421">
        <f t="shared" si="11"/>
        <v>9</v>
      </c>
      <c r="G120" s="42"/>
    </row>
    <row r="121" spans="1:18">
      <c r="A121" s="239">
        <f>A120/A114</f>
        <v>0.01</v>
      </c>
      <c r="B121" s="239">
        <f>B120/B114</f>
        <v>0.1</v>
      </c>
      <c r="C121" s="238"/>
      <c r="D121" s="238" t="s">
        <v>553</v>
      </c>
      <c r="E121" s="26">
        <f t="shared" si="10"/>
        <v>9.0000000000000011E-2</v>
      </c>
      <c r="F121" s="421">
        <f t="shared" si="11"/>
        <v>9</v>
      </c>
      <c r="G121" s="42"/>
    </row>
    <row r="122" spans="1:18">
      <c r="A122" s="246">
        <f t="shared" ref="A122:D122" si="14">A42</f>
        <v>100</v>
      </c>
      <c r="B122" s="238">
        <f t="shared" si="14"/>
        <v>130000</v>
      </c>
      <c r="C122" s="238" t="str">
        <f t="shared" si="14"/>
        <v>ft2</v>
      </c>
      <c r="D122" s="238" t="str">
        <f t="shared" si="14"/>
        <v>Run-on catchment area to infiltration</v>
      </c>
      <c r="E122" s="26">
        <f t="shared" si="10"/>
        <v>129900</v>
      </c>
      <c r="F122" s="421">
        <f t="shared" si="11"/>
        <v>1299</v>
      </c>
      <c r="G122" s="42"/>
    </row>
    <row r="123" spans="1:18" ht="14" thickBot="1">
      <c r="A123" s="248">
        <f>A120/A122</f>
        <v>1</v>
      </c>
      <c r="B123" s="248">
        <f>B120/B122</f>
        <v>7.6923076923076927E-3</v>
      </c>
      <c r="C123" s="249"/>
      <c r="D123" s="249" t="s">
        <v>554</v>
      </c>
      <c r="E123" s="481"/>
      <c r="F123" s="419"/>
      <c r="G123" s="42"/>
    </row>
    <row r="124" spans="1:18" ht="15" thickTop="1" thickBot="1">
      <c r="A124" s="44"/>
      <c r="B124" s="44"/>
      <c r="C124" s="13"/>
      <c r="D124" s="13"/>
      <c r="E124" s="13"/>
      <c r="F124" s="420"/>
      <c r="G124" s="42"/>
    </row>
    <row r="125" spans="1:18" ht="14" thickTop="1">
      <c r="A125" s="240" t="s">
        <v>586</v>
      </c>
      <c r="B125" s="241"/>
      <c r="C125" s="242"/>
      <c r="D125" s="243"/>
      <c r="E125" s="479"/>
      <c r="F125" s="417"/>
      <c r="G125" s="42"/>
    </row>
    <row r="126" spans="1:18">
      <c r="A126" s="245" t="s">
        <v>188</v>
      </c>
      <c r="B126" s="233" t="s">
        <v>189</v>
      </c>
      <c r="C126" s="234"/>
      <c r="D126" s="235"/>
      <c r="E126" s="480"/>
      <c r="F126" s="418"/>
      <c r="G126" s="42"/>
    </row>
    <row r="127" spans="1:18" s="3" customFormat="1">
      <c r="A127" s="246">
        <f>A114*$A$44*0.62</f>
        <v>111600</v>
      </c>
      <c r="B127" s="238">
        <f>B114*$A$44*0.62</f>
        <v>111600</v>
      </c>
      <c r="C127" s="238" t="s">
        <v>133</v>
      </c>
      <c r="D127" s="238" t="s">
        <v>584</v>
      </c>
      <c r="E127" s="26">
        <f t="shared" ref="E127:E141" si="15">B127-A127</f>
        <v>0</v>
      </c>
      <c r="F127" s="421">
        <f t="shared" ref="F127:F141" si="16">IFERROR((B127-A127)/A127,"~  ")</f>
        <v>0</v>
      </c>
      <c r="G127" s="139"/>
      <c r="N127"/>
      <c r="O127"/>
      <c r="P127"/>
      <c r="Q127"/>
      <c r="R127"/>
    </row>
    <row r="128" spans="1:18">
      <c r="A128" s="246">
        <f>A115*$A$44*0.62</f>
        <v>22320</v>
      </c>
      <c r="B128" s="238">
        <f>B115*$A$44*0.62</f>
        <v>22320</v>
      </c>
      <c r="C128" s="238" t="s">
        <v>133</v>
      </c>
      <c r="D128" s="238" t="s">
        <v>585</v>
      </c>
      <c r="E128" s="26">
        <f t="shared" si="15"/>
        <v>0</v>
      </c>
      <c r="F128" s="421">
        <f t="shared" si="16"/>
        <v>0</v>
      </c>
      <c r="G128" s="139"/>
    </row>
    <row r="129" spans="1:7">
      <c r="A129" s="246"/>
      <c r="B129" s="238"/>
      <c r="C129" s="238"/>
      <c r="D129" s="238" t="s">
        <v>566</v>
      </c>
      <c r="E129" s="26">
        <f t="shared" si="15"/>
        <v>0</v>
      </c>
      <c r="F129" s="421" t="str">
        <f t="shared" si="16"/>
        <v xml:space="preserve">~  </v>
      </c>
      <c r="G129" s="139"/>
    </row>
    <row r="130" spans="1:7">
      <c r="A130" s="246"/>
      <c r="B130" s="238"/>
      <c r="C130" s="238"/>
      <c r="D130" s="238" t="s">
        <v>597</v>
      </c>
      <c r="E130" s="26">
        <f t="shared" si="15"/>
        <v>0</v>
      </c>
      <c r="F130" s="421" t="str">
        <f t="shared" si="16"/>
        <v xml:space="preserve">~  </v>
      </c>
      <c r="G130" s="139"/>
    </row>
    <row r="131" spans="1:7">
      <c r="A131" s="246">
        <f>A155</f>
        <v>795.15</v>
      </c>
      <c r="B131" s="238">
        <f>B155</f>
        <v>5301</v>
      </c>
      <c r="C131" s="238" t="s">
        <v>133</v>
      </c>
      <c r="D131" s="238" t="s">
        <v>598</v>
      </c>
      <c r="E131" s="26">
        <f t="shared" si="15"/>
        <v>4505.8500000000004</v>
      </c>
      <c r="F131" s="421">
        <f t="shared" si="16"/>
        <v>5.666666666666667</v>
      </c>
      <c r="G131" s="139" t="s">
        <v>548</v>
      </c>
    </row>
    <row r="132" spans="1:7">
      <c r="A132" s="246">
        <f>A156</f>
        <v>4505.8499999999995</v>
      </c>
      <c r="B132" s="238">
        <f>B156</f>
        <v>15903</v>
      </c>
      <c r="C132" s="238" t="s">
        <v>133</v>
      </c>
      <c r="D132" s="238" t="s">
        <v>587</v>
      </c>
      <c r="E132" s="26">
        <f t="shared" si="15"/>
        <v>11397.150000000001</v>
      </c>
      <c r="F132" s="421">
        <f t="shared" si="16"/>
        <v>2.5294117647058831</v>
      </c>
      <c r="G132" s="42"/>
    </row>
    <row r="133" spans="1:7">
      <c r="A133" s="246">
        <f>A169</f>
        <v>79.515000000000001</v>
      </c>
      <c r="B133" s="238">
        <f>B169</f>
        <v>265.05</v>
      </c>
      <c r="C133" s="238" t="str">
        <f>C52</f>
        <v>gpy</v>
      </c>
      <c r="D133" s="238" t="s">
        <v>588</v>
      </c>
      <c r="E133" s="26">
        <f t="shared" si="15"/>
        <v>185.53500000000003</v>
      </c>
      <c r="F133" s="421">
        <f t="shared" si="16"/>
        <v>2.3333333333333335</v>
      </c>
      <c r="G133" s="42"/>
    </row>
    <row r="134" spans="1:7">
      <c r="A134" s="246">
        <f>A170</f>
        <v>450.58499999999998</v>
      </c>
      <c r="B134" s="238">
        <f>B170</f>
        <v>795.15000000000009</v>
      </c>
      <c r="C134" s="238" t="s">
        <v>133</v>
      </c>
      <c r="D134" s="238" t="s">
        <v>589</v>
      </c>
      <c r="E134" s="26">
        <f t="shared" si="15"/>
        <v>344.56500000000011</v>
      </c>
      <c r="F134" s="421">
        <f t="shared" si="16"/>
        <v>0.76470588235294146</v>
      </c>
      <c r="G134" s="42"/>
    </row>
    <row r="135" spans="1:7">
      <c r="A135" s="246">
        <f>A186</f>
        <v>12555</v>
      </c>
      <c r="B135" s="238">
        <f>B186</f>
        <v>21762</v>
      </c>
      <c r="C135" s="238" t="str">
        <f>C53</f>
        <v>gpy</v>
      </c>
      <c r="D135" s="238" t="s">
        <v>590</v>
      </c>
      <c r="E135" s="26">
        <f t="shared" si="15"/>
        <v>9207</v>
      </c>
      <c r="F135" s="421">
        <f t="shared" si="16"/>
        <v>0.73333333333333328</v>
      </c>
      <c r="G135" s="42"/>
    </row>
    <row r="136" spans="1:7">
      <c r="A136" s="246">
        <f>A187</f>
        <v>29294.999999999996</v>
      </c>
      <c r="B136" s="238">
        <f>B187</f>
        <v>56581.200000000004</v>
      </c>
      <c r="C136" s="238" t="str">
        <f>C54</f>
        <v>gpy</v>
      </c>
      <c r="D136" s="238" t="s">
        <v>591</v>
      </c>
      <c r="E136" s="26">
        <f t="shared" si="15"/>
        <v>27286.200000000008</v>
      </c>
      <c r="F136" s="421">
        <f t="shared" si="16"/>
        <v>0.93142857142857183</v>
      </c>
      <c r="G136" s="42"/>
    </row>
    <row r="137" spans="1:7">
      <c r="A137" s="246">
        <f>A192</f>
        <v>1116</v>
      </c>
      <c r="B137" s="238">
        <f>B192</f>
        <v>145080</v>
      </c>
      <c r="C137" s="238" t="str">
        <f>C55</f>
        <v>gpy</v>
      </c>
      <c r="D137" s="238" t="s">
        <v>592</v>
      </c>
      <c r="E137" s="26">
        <f t="shared" si="15"/>
        <v>143964</v>
      </c>
      <c r="F137" s="421">
        <f t="shared" si="16"/>
        <v>129</v>
      </c>
      <c r="G137" s="42"/>
    </row>
    <row r="138" spans="1:7">
      <c r="A138" s="246">
        <f>A218</f>
        <v>740.61900000000003</v>
      </c>
      <c r="B138" s="238">
        <f>B218</f>
        <v>11109.284999999998</v>
      </c>
      <c r="C138" s="238" t="e">
        <f>#REF!</f>
        <v>#REF!</v>
      </c>
      <c r="D138" s="238" t="s">
        <v>593</v>
      </c>
      <c r="E138" s="26">
        <f t="shared" si="15"/>
        <v>10368.665999999997</v>
      </c>
      <c r="F138" s="421">
        <f t="shared" si="16"/>
        <v>13.999999999999996</v>
      </c>
      <c r="G138" s="42"/>
    </row>
    <row r="139" spans="1:7">
      <c r="A139" s="246">
        <f>A219</f>
        <v>4196.8410000000003</v>
      </c>
      <c r="B139" s="238">
        <f>B219</f>
        <v>62952.614999999998</v>
      </c>
      <c r="C139" s="238" t="str">
        <f>C56</f>
        <v>gpy</v>
      </c>
      <c r="D139" s="238" t="s">
        <v>594</v>
      </c>
      <c r="E139" s="26">
        <f t="shared" si="15"/>
        <v>58755.773999999998</v>
      </c>
      <c r="F139" s="421">
        <f t="shared" si="16"/>
        <v>13.999999999999998</v>
      </c>
      <c r="G139" s="42"/>
    </row>
    <row r="140" spans="1:7">
      <c r="A140" s="246">
        <f>A130+A131+A133+A135+A138</f>
        <v>14170.284000000001</v>
      </c>
      <c r="B140" s="238">
        <f>B130+B131+B133+B135+B138</f>
        <v>38437.334999999999</v>
      </c>
      <c r="C140" s="238" t="str">
        <f>C57</f>
        <v>gpy</v>
      </c>
      <c r="D140" s="238" t="s">
        <v>595</v>
      </c>
      <c r="E140" s="26">
        <f t="shared" si="15"/>
        <v>24267.050999999999</v>
      </c>
      <c r="F140" s="421">
        <f t="shared" si="16"/>
        <v>1.7125310261953817</v>
      </c>
      <c r="G140" s="42"/>
    </row>
    <row r="141" spans="1:7">
      <c r="A141" s="246">
        <f>A132+A134+A136+A139</f>
        <v>38448.275999999998</v>
      </c>
      <c r="B141" s="238">
        <f>B132+B134+B136+B139</f>
        <v>136231.965</v>
      </c>
      <c r="C141" s="238" t="str">
        <f>C58</f>
        <v>gpy</v>
      </c>
      <c r="D141" s="238" t="s">
        <v>596</v>
      </c>
      <c r="E141" s="26">
        <f t="shared" si="15"/>
        <v>97783.688999999998</v>
      </c>
      <c r="F141" s="421">
        <f t="shared" si="16"/>
        <v>2.5432528886340706</v>
      </c>
      <c r="G141" s="42"/>
    </row>
    <row r="142" spans="1:7" ht="14" thickBot="1">
      <c r="A142" s="274"/>
      <c r="B142" s="248"/>
      <c r="C142" s="249"/>
      <c r="D142" s="249"/>
      <c r="E142" s="481"/>
      <c r="F142" s="419"/>
      <c r="G142" s="42"/>
    </row>
    <row r="143" spans="1:7" ht="15" thickTop="1" thickBot="1">
      <c r="A143" s="13"/>
      <c r="B143" s="13"/>
      <c r="C143" s="13"/>
      <c r="D143" s="13"/>
      <c r="E143" s="13"/>
      <c r="F143" s="420"/>
      <c r="G143" s="42"/>
    </row>
    <row r="144" spans="1:7" ht="14" thickTop="1">
      <c r="A144" s="240" t="s">
        <v>562</v>
      </c>
      <c r="B144" s="241"/>
      <c r="C144" s="242"/>
      <c r="D144" s="243"/>
      <c r="E144" s="244"/>
      <c r="F144" s="417"/>
      <c r="G144" s="42"/>
    </row>
    <row r="145" spans="1:18">
      <c r="A145" s="245" t="s">
        <v>188</v>
      </c>
      <c r="B145" s="233" t="s">
        <v>189</v>
      </c>
      <c r="C145" s="234"/>
      <c r="D145" s="235"/>
      <c r="E145" s="236"/>
      <c r="F145" s="418"/>
      <c r="G145" s="42" t="s">
        <v>558</v>
      </c>
    </row>
    <row r="146" spans="1:18" s="3" customFormat="1">
      <c r="A146" s="246">
        <f>A38</f>
        <v>500</v>
      </c>
      <c r="B146" s="238">
        <f>B38</f>
        <v>2000</v>
      </c>
      <c r="C146" s="238" t="str">
        <f>C38</f>
        <v>ft2</v>
      </c>
      <c r="D146" s="238" t="str">
        <f>D38</f>
        <v>Area of roof to infiltration</v>
      </c>
      <c r="E146" s="26">
        <f t="shared" ref="E146:E151" si="17">B146-A146</f>
        <v>1500</v>
      </c>
      <c r="F146" s="421">
        <f t="shared" ref="F146:F151" si="18">IFERROR((B146-A146)/A146,"~  ")</f>
        <v>3</v>
      </c>
      <c r="G146" s="139"/>
      <c r="N146"/>
      <c r="O146"/>
      <c r="P146"/>
      <c r="Q146"/>
      <c r="R146"/>
    </row>
    <row r="147" spans="1:18" s="3" customFormat="1">
      <c r="A147" s="250">
        <v>0.05</v>
      </c>
      <c r="B147" s="251">
        <v>0.05</v>
      </c>
      <c r="C147" s="238"/>
      <c r="D147" s="238" t="s">
        <v>559</v>
      </c>
      <c r="E147" s="26">
        <f t="shared" si="17"/>
        <v>0</v>
      </c>
      <c r="F147" s="421">
        <f t="shared" si="18"/>
        <v>0</v>
      </c>
      <c r="G147" s="139"/>
      <c r="N147"/>
      <c r="O147"/>
      <c r="P147"/>
      <c r="Q147"/>
      <c r="R147"/>
    </row>
    <row r="148" spans="1:18">
      <c r="A148" s="269">
        <f>A146*$A$44*0.62*(1-A$147)</f>
        <v>5301</v>
      </c>
      <c r="B148" s="269">
        <f>B146*$A$44*0.62*(1-B$147)</f>
        <v>21204</v>
      </c>
      <c r="C148" s="238" t="s">
        <v>133</v>
      </c>
      <c r="D148" s="238" t="s">
        <v>560</v>
      </c>
      <c r="E148" s="26">
        <f t="shared" si="17"/>
        <v>15903</v>
      </c>
      <c r="F148" s="421">
        <f t="shared" si="18"/>
        <v>3</v>
      </c>
      <c r="G148" s="139"/>
      <c r="N148" s="3"/>
      <c r="O148" s="3"/>
      <c r="P148" s="3"/>
      <c r="Q148" s="3"/>
      <c r="R148" s="3"/>
    </row>
    <row r="149" spans="1:18">
      <c r="A149" s="246">
        <f>A146*$A45*0.62*(1-A$147)</f>
        <v>1767</v>
      </c>
      <c r="B149" s="238">
        <f>B146*$A$45*0.62*(1-B$147)</f>
        <v>7068</v>
      </c>
      <c r="C149" s="238" t="s">
        <v>133</v>
      </c>
      <c r="D149" s="238" t="s">
        <v>561</v>
      </c>
      <c r="E149" s="26">
        <f t="shared" si="17"/>
        <v>5301</v>
      </c>
      <c r="F149" s="421">
        <f t="shared" si="18"/>
        <v>3</v>
      </c>
      <c r="G149" s="139"/>
      <c r="N149" s="3"/>
      <c r="O149" s="3"/>
      <c r="P149" s="3"/>
      <c r="Q149" s="3"/>
      <c r="R149" s="3"/>
    </row>
    <row r="150" spans="1:18">
      <c r="A150" s="246">
        <f>A146*$A46*0.62*(1-A$147)</f>
        <v>294.5</v>
      </c>
      <c r="B150" s="238">
        <f>B146*$A$46*0.62*(1-B$147)</f>
        <v>1178</v>
      </c>
      <c r="C150" s="238" t="s">
        <v>557</v>
      </c>
      <c r="D150" s="238" t="s">
        <v>556</v>
      </c>
      <c r="E150" s="26">
        <f t="shared" si="17"/>
        <v>883.5</v>
      </c>
      <c r="F150" s="421">
        <f t="shared" si="18"/>
        <v>3</v>
      </c>
      <c r="G150" s="139"/>
      <c r="N150" s="3"/>
      <c r="O150" s="3"/>
      <c r="P150" s="3"/>
      <c r="Q150" s="3"/>
      <c r="R150" s="3"/>
    </row>
    <row r="151" spans="1:18">
      <c r="A151" s="246">
        <f>A150/60</f>
        <v>4.9083333333333332</v>
      </c>
      <c r="B151" s="238">
        <f>B150/60</f>
        <v>19.633333333333333</v>
      </c>
      <c r="C151" s="238" t="s">
        <v>319</v>
      </c>
      <c r="D151" s="238" t="s">
        <v>556</v>
      </c>
      <c r="E151" s="26">
        <f t="shared" si="17"/>
        <v>14.725</v>
      </c>
      <c r="F151" s="421">
        <f t="shared" si="18"/>
        <v>3</v>
      </c>
      <c r="G151" s="139"/>
      <c r="N151" s="3"/>
      <c r="O151" s="3"/>
      <c r="P151" s="3"/>
      <c r="Q151" s="3"/>
      <c r="R151" s="3"/>
    </row>
    <row r="152" spans="1:18">
      <c r="A152" s="246"/>
      <c r="B152" s="238"/>
      <c r="C152" s="238"/>
      <c r="D152" s="238"/>
      <c r="E152" s="252"/>
      <c r="F152" s="421"/>
      <c r="G152" s="139"/>
      <c r="N152" s="3"/>
      <c r="O152" s="3"/>
      <c r="P152" s="3"/>
      <c r="Q152" s="3"/>
      <c r="R152" s="3"/>
    </row>
    <row r="153" spans="1:18">
      <c r="A153" s="250">
        <v>0.15</v>
      </c>
      <c r="B153" s="251">
        <v>0.25</v>
      </c>
      <c r="C153" s="234"/>
      <c r="D153" s="253" t="s">
        <v>495</v>
      </c>
      <c r="E153" s="26">
        <f t="shared" ref="E153:E156" si="19">B153-A153</f>
        <v>0.1</v>
      </c>
      <c r="F153" s="421">
        <f t="shared" ref="F153:F156" si="20">IFERROR((B153-A153)/A153,"~  ")</f>
        <v>0.66666666666666674</v>
      </c>
      <c r="G153" s="139"/>
      <c r="H153" t="s">
        <v>498</v>
      </c>
    </row>
    <row r="154" spans="1:18">
      <c r="A154" s="254">
        <f>1-A153</f>
        <v>0.85</v>
      </c>
      <c r="B154" s="239">
        <f>1-B153</f>
        <v>0.75</v>
      </c>
      <c r="C154" s="234"/>
      <c r="D154" s="253" t="s">
        <v>499</v>
      </c>
      <c r="E154" s="26">
        <f t="shared" si="19"/>
        <v>-9.9999999999999978E-2</v>
      </c>
      <c r="F154" s="421">
        <f t="shared" si="20"/>
        <v>-0.11764705882352938</v>
      </c>
      <c r="G154" s="139"/>
      <c r="H154" t="s">
        <v>500</v>
      </c>
    </row>
    <row r="155" spans="1:18">
      <c r="A155" s="255">
        <f>A153*A148</f>
        <v>795.15</v>
      </c>
      <c r="B155" s="256">
        <f>B153*B148</f>
        <v>5301</v>
      </c>
      <c r="C155" s="234" t="s">
        <v>133</v>
      </c>
      <c r="D155" s="257" t="s">
        <v>503</v>
      </c>
      <c r="E155" s="26">
        <f t="shared" si="19"/>
        <v>4505.8500000000004</v>
      </c>
      <c r="F155" s="421">
        <f t="shared" si="20"/>
        <v>5.666666666666667</v>
      </c>
      <c r="G155" s="139"/>
      <c r="H155" t="s">
        <v>492</v>
      </c>
    </row>
    <row r="156" spans="1:18" ht="14" thickBot="1">
      <c r="A156" s="270">
        <f>A154*A$148</f>
        <v>4505.8499999999995</v>
      </c>
      <c r="B156" s="260">
        <f>B154*B$148</f>
        <v>15903</v>
      </c>
      <c r="C156" s="260" t="s">
        <v>133</v>
      </c>
      <c r="D156" s="261" t="s">
        <v>504</v>
      </c>
      <c r="E156" s="26">
        <f t="shared" si="19"/>
        <v>11397.150000000001</v>
      </c>
      <c r="F156" s="421">
        <f t="shared" si="20"/>
        <v>2.5294117647058831</v>
      </c>
      <c r="G156" s="139"/>
    </row>
    <row r="157" spans="1:18" ht="15" thickTop="1" thickBot="1">
      <c r="A157" s="13"/>
      <c r="B157" s="13"/>
      <c r="C157" s="13"/>
      <c r="D157" s="13"/>
      <c r="E157" s="13"/>
      <c r="F157" s="420"/>
      <c r="G157" s="42"/>
    </row>
    <row r="158" spans="1:18" ht="14" thickTop="1">
      <c r="A158" s="240" t="s">
        <v>563</v>
      </c>
      <c r="B158" s="241"/>
      <c r="C158" s="242"/>
      <c r="D158" s="243"/>
      <c r="E158" s="244"/>
      <c r="F158" s="417"/>
      <c r="G158" s="42"/>
    </row>
    <row r="159" spans="1:18">
      <c r="A159" s="245" t="s">
        <v>188</v>
      </c>
      <c r="B159" s="233" t="s">
        <v>189</v>
      </c>
      <c r="C159" s="234"/>
      <c r="D159" s="235"/>
      <c r="E159" s="236"/>
      <c r="F159" s="418"/>
      <c r="G159" s="272" t="s">
        <v>558</v>
      </c>
    </row>
    <row r="160" spans="1:18" s="3" customFormat="1">
      <c r="A160" s="246">
        <f>A118</f>
        <v>50</v>
      </c>
      <c r="B160" s="246">
        <f>B118</f>
        <v>100</v>
      </c>
      <c r="C160" s="246" t="str">
        <f>C118</f>
        <v>ft2</v>
      </c>
      <c r="D160" s="246" t="str">
        <f>D118</f>
        <v>Area of hardscape to infiltration</v>
      </c>
      <c r="E160" s="238" t="str">
        <f>E50</f>
        <v>gpy change</v>
      </c>
      <c r="F160" s="418" t="str">
        <f>F50</f>
        <v>% change</v>
      </c>
      <c r="G160" s="139"/>
      <c r="N160"/>
      <c r="O160"/>
      <c r="P160"/>
      <c r="Q160"/>
      <c r="R160"/>
    </row>
    <row r="161" spans="1:18" s="3" customFormat="1">
      <c r="A161" s="250">
        <v>0.05</v>
      </c>
      <c r="B161" s="251">
        <v>0.05</v>
      </c>
      <c r="C161" s="238"/>
      <c r="D161" s="238" t="s">
        <v>559</v>
      </c>
      <c r="E161" s="26">
        <f t="shared" ref="E161:E165" si="21">B161-A161</f>
        <v>0</v>
      </c>
      <c r="F161" s="421">
        <f t="shared" ref="F161:F165" si="22">IFERROR((B161-A161)/A161,"~  ")</f>
        <v>0</v>
      </c>
      <c r="G161" s="139"/>
      <c r="N161"/>
      <c r="O161"/>
      <c r="P161"/>
      <c r="Q161"/>
      <c r="R161"/>
    </row>
    <row r="162" spans="1:18">
      <c r="A162" s="269">
        <f>A160*$A$44*0.62*(1-A$147)</f>
        <v>530.1</v>
      </c>
      <c r="B162" s="269">
        <f>B160*$A$44*0.62*(1-B$147)</f>
        <v>1060.2</v>
      </c>
      <c r="C162" s="238" t="s">
        <v>133</v>
      </c>
      <c r="D162" s="238" t="s">
        <v>560</v>
      </c>
      <c r="E162" s="26">
        <f t="shared" si="21"/>
        <v>530.1</v>
      </c>
      <c r="F162" s="421">
        <f t="shared" si="22"/>
        <v>1</v>
      </c>
      <c r="G162" s="139"/>
      <c r="N162" s="3"/>
      <c r="O162" s="3"/>
      <c r="P162" s="3"/>
      <c r="Q162" s="3"/>
      <c r="R162" s="3"/>
    </row>
    <row r="163" spans="1:18">
      <c r="A163" s="246">
        <f>A160*$A57*0.62*(1-A$147)</f>
        <v>0</v>
      </c>
      <c r="B163" s="238">
        <f>B160*$A$45*0.62*(1-B$147)</f>
        <v>353.4</v>
      </c>
      <c r="C163" s="238" t="s">
        <v>133</v>
      </c>
      <c r="D163" s="238" t="s">
        <v>561</v>
      </c>
      <c r="E163" s="26">
        <f t="shared" si="21"/>
        <v>353.4</v>
      </c>
      <c r="F163" s="421" t="str">
        <f t="shared" si="22"/>
        <v xml:space="preserve">~  </v>
      </c>
      <c r="G163" s="139"/>
      <c r="N163" s="3"/>
      <c r="O163" s="3"/>
      <c r="P163" s="3"/>
      <c r="Q163" s="3"/>
      <c r="R163" s="3"/>
    </row>
    <row r="164" spans="1:18">
      <c r="A164" s="246">
        <f>A160*$A58*0.62*(1-A$147)</f>
        <v>3569647.8114</v>
      </c>
      <c r="B164" s="238">
        <f>B160*$A$46*0.62*(1-B$147)</f>
        <v>58.9</v>
      </c>
      <c r="C164" s="238" t="s">
        <v>557</v>
      </c>
      <c r="D164" s="238" t="s">
        <v>556</v>
      </c>
      <c r="E164" s="26">
        <f t="shared" si="21"/>
        <v>-3569588.9114000001</v>
      </c>
      <c r="F164" s="421">
        <f t="shared" si="22"/>
        <v>-0.99998349977277534</v>
      </c>
      <c r="G164" s="139"/>
      <c r="N164" s="3"/>
      <c r="O164" s="3"/>
      <c r="P164" s="3"/>
      <c r="Q164" s="3"/>
      <c r="R164" s="3"/>
    </row>
    <row r="165" spans="1:18">
      <c r="A165" s="246">
        <f>A164/60</f>
        <v>59494.130190000003</v>
      </c>
      <c r="B165" s="238">
        <f>B164/60</f>
        <v>0.98166666666666669</v>
      </c>
      <c r="C165" s="238" t="s">
        <v>319</v>
      </c>
      <c r="D165" s="238" t="s">
        <v>556</v>
      </c>
      <c r="E165" s="26">
        <f t="shared" si="21"/>
        <v>-59493.148523333337</v>
      </c>
      <c r="F165" s="421">
        <f t="shared" si="22"/>
        <v>-0.99998349977277534</v>
      </c>
      <c r="G165" s="139"/>
      <c r="N165" s="3"/>
      <c r="O165" s="3"/>
      <c r="P165" s="3"/>
      <c r="Q165" s="3"/>
      <c r="R165" s="3"/>
    </row>
    <row r="166" spans="1:18">
      <c r="A166" s="246"/>
      <c r="B166" s="238"/>
      <c r="C166" s="238"/>
      <c r="D166" s="238"/>
      <c r="E166" s="252"/>
      <c r="F166" s="421"/>
      <c r="G166" s="139"/>
      <c r="N166" s="3"/>
      <c r="O166" s="3"/>
      <c r="P166" s="3"/>
      <c r="Q166" s="3"/>
      <c r="R166" s="3"/>
    </row>
    <row r="167" spans="1:18">
      <c r="A167" s="250">
        <v>0.15</v>
      </c>
      <c r="B167" s="251">
        <v>0.25</v>
      </c>
      <c r="C167" s="234"/>
      <c r="D167" s="253" t="s">
        <v>495</v>
      </c>
      <c r="E167" s="26">
        <f t="shared" ref="E167:E170" si="23">B167-A167</f>
        <v>0.1</v>
      </c>
      <c r="F167" s="421">
        <f t="shared" ref="F167:F170" si="24">IFERROR((B167-A167)/A167,"~  ")</f>
        <v>0.66666666666666674</v>
      </c>
      <c r="G167" s="139"/>
      <c r="H167" t="s">
        <v>498</v>
      </c>
    </row>
    <row r="168" spans="1:18">
      <c r="A168" s="254">
        <f>1-A167</f>
        <v>0.85</v>
      </c>
      <c r="B168" s="239">
        <f>1-B167</f>
        <v>0.75</v>
      </c>
      <c r="C168" s="234"/>
      <c r="D168" s="253" t="s">
        <v>499</v>
      </c>
      <c r="E168" s="26">
        <f t="shared" si="23"/>
        <v>-9.9999999999999978E-2</v>
      </c>
      <c r="F168" s="421">
        <f t="shared" si="24"/>
        <v>-0.11764705882352938</v>
      </c>
      <c r="G168" s="139"/>
      <c r="H168" t="s">
        <v>500</v>
      </c>
    </row>
    <row r="169" spans="1:18">
      <c r="A169" s="255">
        <f>A167*A162</f>
        <v>79.515000000000001</v>
      </c>
      <c r="B169" s="256">
        <f>B167*B162</f>
        <v>265.05</v>
      </c>
      <c r="C169" s="234" t="s">
        <v>133</v>
      </c>
      <c r="D169" s="257" t="s">
        <v>503</v>
      </c>
      <c r="E169" s="26">
        <f t="shared" si="23"/>
        <v>185.53500000000003</v>
      </c>
      <c r="F169" s="421">
        <f t="shared" si="24"/>
        <v>2.3333333333333335</v>
      </c>
      <c r="G169" s="139"/>
      <c r="H169" t="s">
        <v>492</v>
      </c>
    </row>
    <row r="170" spans="1:18" ht="14" thickBot="1">
      <c r="A170" s="270">
        <f>A168*A162</f>
        <v>450.58499999999998</v>
      </c>
      <c r="B170" s="260">
        <f>B168*B162</f>
        <v>795.15000000000009</v>
      </c>
      <c r="C170" s="260" t="s">
        <v>133</v>
      </c>
      <c r="D170" s="261" t="s">
        <v>504</v>
      </c>
      <c r="E170" s="26">
        <f t="shared" si="23"/>
        <v>344.56500000000011</v>
      </c>
      <c r="F170" s="421">
        <f t="shared" si="24"/>
        <v>0.76470588235294146</v>
      </c>
      <c r="G170" s="139"/>
    </row>
    <row r="171" spans="1:18" ht="15" thickTop="1" thickBot="1">
      <c r="A171" s="13"/>
      <c r="B171" s="13"/>
      <c r="C171" s="9"/>
      <c r="D171" s="8"/>
      <c r="E171" s="23"/>
      <c r="F171" s="420"/>
      <c r="G171" s="42"/>
    </row>
    <row r="172" spans="1:18" ht="14" thickTop="1">
      <c r="A172" s="240" t="s">
        <v>564</v>
      </c>
      <c r="B172" s="241"/>
      <c r="C172" s="242"/>
      <c r="D172" s="243"/>
      <c r="E172" s="244"/>
      <c r="F172" s="417"/>
      <c r="G172" s="42"/>
    </row>
    <row r="173" spans="1:18">
      <c r="A173" s="245" t="s">
        <v>188</v>
      </c>
      <c r="B173" s="233" t="s">
        <v>189</v>
      </c>
      <c r="C173" s="234"/>
      <c r="D173" s="235"/>
      <c r="E173" s="236"/>
      <c r="F173" s="418"/>
      <c r="G173" s="42"/>
    </row>
    <row r="174" spans="1:18" s="3" customFormat="1">
      <c r="A174" s="246">
        <f>A119</f>
        <v>7500</v>
      </c>
      <c r="B174" s="246">
        <f>B119</f>
        <v>7800</v>
      </c>
      <c r="C174" s="234" t="s">
        <v>250</v>
      </c>
      <c r="D174" s="263" t="s">
        <v>565</v>
      </c>
      <c r="E174" s="26">
        <f t="shared" ref="E174:E187" si="25">B174-A174</f>
        <v>300</v>
      </c>
      <c r="F174" s="421">
        <f t="shared" ref="F174:F187" si="26">IFERROR((B174-A174)/A174,"~  ")</f>
        <v>0.04</v>
      </c>
      <c r="G174" s="139"/>
      <c r="N174"/>
      <c r="O174"/>
      <c r="P174"/>
      <c r="Q174"/>
      <c r="R174"/>
    </row>
    <row r="175" spans="1:18">
      <c r="A175" s="269">
        <f>A$174*$A$44*0.62</f>
        <v>83700</v>
      </c>
      <c r="B175" s="269">
        <f>B174*$A$44*0.62</f>
        <v>87048</v>
      </c>
      <c r="C175" s="238" t="s">
        <v>133</v>
      </c>
      <c r="D175" s="238" t="s">
        <v>560</v>
      </c>
      <c r="E175" s="26">
        <f t="shared" si="25"/>
        <v>3348</v>
      </c>
      <c r="F175" s="421">
        <f t="shared" si="26"/>
        <v>0.04</v>
      </c>
      <c r="G175" s="139"/>
      <c r="N175" s="3"/>
      <c r="O175" s="3"/>
      <c r="P175" s="3"/>
      <c r="Q175" s="3"/>
      <c r="R175" s="3"/>
    </row>
    <row r="176" spans="1:18">
      <c r="A176" s="246">
        <f>A174*$A$45*0.62</f>
        <v>27900</v>
      </c>
      <c r="B176" s="246">
        <f>B174*$A$45*0.62</f>
        <v>29016</v>
      </c>
      <c r="C176" s="238" t="s">
        <v>133</v>
      </c>
      <c r="D176" s="238" t="s">
        <v>561</v>
      </c>
      <c r="E176" s="26">
        <f t="shared" si="25"/>
        <v>1116</v>
      </c>
      <c r="F176" s="421">
        <f t="shared" si="26"/>
        <v>0.04</v>
      </c>
      <c r="G176" s="139"/>
      <c r="N176" s="3"/>
      <c r="O176" s="3"/>
      <c r="P176" s="3"/>
      <c r="Q176" s="3"/>
      <c r="R176" s="3"/>
    </row>
    <row r="177" spans="1:18">
      <c r="A177" s="246">
        <f>A174*$A46*0.62</f>
        <v>4650</v>
      </c>
      <c r="B177" s="246">
        <f>B174*$A46*0.62</f>
        <v>4836</v>
      </c>
      <c r="C177" s="238" t="s">
        <v>557</v>
      </c>
      <c r="D177" s="238" t="s">
        <v>556</v>
      </c>
      <c r="E177" s="26">
        <f t="shared" si="25"/>
        <v>186</v>
      </c>
      <c r="F177" s="421">
        <f t="shared" si="26"/>
        <v>0.04</v>
      </c>
      <c r="G177" s="139"/>
      <c r="N177" s="3"/>
      <c r="O177" s="3"/>
      <c r="P177" s="3"/>
      <c r="Q177" s="3"/>
      <c r="R177" s="3"/>
    </row>
    <row r="178" spans="1:18">
      <c r="A178" s="246">
        <f>A177/60</f>
        <v>77.5</v>
      </c>
      <c r="B178" s="238">
        <f>B177/60</f>
        <v>80.599999999999994</v>
      </c>
      <c r="C178" s="238" t="s">
        <v>319</v>
      </c>
      <c r="D178" s="238" t="s">
        <v>556</v>
      </c>
      <c r="E178" s="26">
        <f t="shared" si="25"/>
        <v>3.0999999999999943</v>
      </c>
      <c r="F178" s="421">
        <f t="shared" si="26"/>
        <v>3.9999999999999925E-2</v>
      </c>
      <c r="G178" s="139"/>
      <c r="N178" s="3"/>
      <c r="O178" s="3"/>
      <c r="P178" s="3"/>
      <c r="Q178" s="3"/>
      <c r="R178" s="3"/>
    </row>
    <row r="179" spans="1:18">
      <c r="A179" s="250">
        <v>0.3</v>
      </c>
      <c r="B179" s="251">
        <v>0.05</v>
      </c>
      <c r="C179" s="234"/>
      <c r="D179" s="235" t="s">
        <v>493</v>
      </c>
      <c r="E179" s="26">
        <f t="shared" si="25"/>
        <v>-0.25</v>
      </c>
      <c r="F179" s="421">
        <f t="shared" si="26"/>
        <v>-0.83333333333333337</v>
      </c>
      <c r="G179" s="139"/>
      <c r="H179" t="s">
        <v>496</v>
      </c>
    </row>
    <row r="180" spans="1:18">
      <c r="A180" s="250">
        <v>0.2</v>
      </c>
      <c r="B180" s="251">
        <v>0.05</v>
      </c>
      <c r="C180" s="234"/>
      <c r="D180" s="235" t="s">
        <v>494</v>
      </c>
      <c r="E180" s="26">
        <f t="shared" si="25"/>
        <v>-0.15000000000000002</v>
      </c>
      <c r="F180" s="421">
        <f t="shared" si="26"/>
        <v>-0.75000000000000011</v>
      </c>
      <c r="G180" s="139"/>
      <c r="H180" t="s">
        <v>497</v>
      </c>
    </row>
    <row r="181" spans="1:18">
      <c r="A181" s="250">
        <v>0.15</v>
      </c>
      <c r="B181" s="251">
        <v>0.25</v>
      </c>
      <c r="C181" s="234"/>
      <c r="D181" s="253" t="s">
        <v>495</v>
      </c>
      <c r="E181" s="26">
        <f t="shared" si="25"/>
        <v>0.1</v>
      </c>
      <c r="F181" s="421">
        <f t="shared" si="26"/>
        <v>0.66666666666666674</v>
      </c>
      <c r="G181" s="139"/>
      <c r="H181" t="s">
        <v>498</v>
      </c>
    </row>
    <row r="182" spans="1:18">
      <c r="A182" s="254">
        <f>1-(A179+A180+A181)</f>
        <v>0.35</v>
      </c>
      <c r="B182" s="239">
        <f>1-(B179+B180+B181)</f>
        <v>0.65</v>
      </c>
      <c r="C182" s="234"/>
      <c r="D182" s="253" t="s">
        <v>499</v>
      </c>
      <c r="E182" s="26">
        <f t="shared" si="25"/>
        <v>0.30000000000000004</v>
      </c>
      <c r="F182" s="421">
        <f t="shared" si="26"/>
        <v>0.85714285714285732</v>
      </c>
      <c r="G182" s="139"/>
      <c r="H182" t="s">
        <v>500</v>
      </c>
    </row>
    <row r="183" spans="1:18">
      <c r="A183" s="250"/>
      <c r="B183" s="251"/>
      <c r="C183" s="234"/>
      <c r="D183" s="253"/>
      <c r="E183" s="26">
        <f t="shared" si="25"/>
        <v>0</v>
      </c>
      <c r="F183" s="421" t="str">
        <f t="shared" si="26"/>
        <v xml:space="preserve">~  </v>
      </c>
      <c r="G183" s="139"/>
    </row>
    <row r="184" spans="1:18">
      <c r="A184" s="255">
        <f t="shared" ref="A184:B187" si="27">A179*A$175</f>
        <v>25110</v>
      </c>
      <c r="B184" s="255">
        <f t="shared" si="27"/>
        <v>4352.4000000000005</v>
      </c>
      <c r="C184" s="234" t="s">
        <v>133</v>
      </c>
      <c r="D184" s="253" t="s">
        <v>502</v>
      </c>
      <c r="E184" s="26">
        <f t="shared" si="25"/>
        <v>-20757.599999999999</v>
      </c>
      <c r="F184" s="421">
        <f t="shared" si="26"/>
        <v>-0.82666666666666666</v>
      </c>
      <c r="G184" s="139"/>
    </row>
    <row r="185" spans="1:18">
      <c r="A185" s="255">
        <f t="shared" si="27"/>
        <v>16740</v>
      </c>
      <c r="B185" s="255">
        <f t="shared" si="27"/>
        <v>4352.4000000000005</v>
      </c>
      <c r="C185" s="234" t="s">
        <v>133</v>
      </c>
      <c r="D185" s="253" t="s">
        <v>501</v>
      </c>
      <c r="E185" s="26">
        <f t="shared" si="25"/>
        <v>-12387.599999999999</v>
      </c>
      <c r="F185" s="421">
        <f t="shared" si="26"/>
        <v>-0.73999999999999988</v>
      </c>
      <c r="G185" s="139"/>
    </row>
    <row r="186" spans="1:18">
      <c r="A186" s="255">
        <f t="shared" si="27"/>
        <v>12555</v>
      </c>
      <c r="B186" s="255">
        <f t="shared" si="27"/>
        <v>21762</v>
      </c>
      <c r="C186" s="234" t="s">
        <v>133</v>
      </c>
      <c r="D186" s="257" t="s">
        <v>503</v>
      </c>
      <c r="E186" s="26">
        <f t="shared" si="25"/>
        <v>9207</v>
      </c>
      <c r="F186" s="421">
        <f t="shared" si="26"/>
        <v>0.73333333333333328</v>
      </c>
      <c r="G186" s="139"/>
      <c r="H186" t="s">
        <v>492</v>
      </c>
    </row>
    <row r="187" spans="1:18" ht="14" thickBot="1">
      <c r="A187" s="258">
        <f t="shared" si="27"/>
        <v>29294.999999999996</v>
      </c>
      <c r="B187" s="259">
        <f t="shared" si="27"/>
        <v>56581.200000000004</v>
      </c>
      <c r="C187" s="260" t="s">
        <v>133</v>
      </c>
      <c r="D187" s="261" t="s">
        <v>504</v>
      </c>
      <c r="E187" s="26">
        <f t="shared" si="25"/>
        <v>27286.200000000008</v>
      </c>
      <c r="F187" s="421">
        <f t="shared" si="26"/>
        <v>0.93142857142857183</v>
      </c>
      <c r="G187" s="139"/>
    </row>
    <row r="188" spans="1:18" ht="15" thickTop="1" thickBot="1">
      <c r="A188" s="13"/>
      <c r="B188" s="13"/>
      <c r="C188" s="7"/>
      <c r="D188" s="8"/>
      <c r="E188" s="23"/>
      <c r="F188" s="420"/>
      <c r="G188" s="42"/>
    </row>
    <row r="189" spans="1:18" ht="14" thickTop="1">
      <c r="A189" s="240" t="s">
        <v>573</v>
      </c>
      <c r="B189" s="276"/>
      <c r="C189" s="242"/>
      <c r="D189" s="243"/>
      <c r="E189" s="244"/>
      <c r="F189" s="417"/>
      <c r="G189" s="42"/>
    </row>
    <row r="190" spans="1:18">
      <c r="A190" s="246">
        <f>A42</f>
        <v>100</v>
      </c>
      <c r="B190" s="246">
        <f>B42</f>
        <v>130000</v>
      </c>
      <c r="C190" s="246" t="str">
        <f>C42</f>
        <v>ft2</v>
      </c>
      <c r="D190" s="246" t="str">
        <f>D42</f>
        <v>Run-on catchment area to infiltration</v>
      </c>
      <c r="E190" s="26">
        <f t="shared" ref="E190:E196" si="28">B190-A190</f>
        <v>129900</v>
      </c>
      <c r="F190" s="421">
        <f t="shared" ref="F190:F196" si="29">IFERROR((B190-A190)/A190,"~  ")</f>
        <v>1299</v>
      </c>
      <c r="G190" s="42"/>
    </row>
    <row r="191" spans="1:18">
      <c r="A191" s="250">
        <v>0.1</v>
      </c>
      <c r="B191" s="251">
        <v>0.1</v>
      </c>
      <c r="C191" s="234"/>
      <c r="D191" s="235" t="s">
        <v>570</v>
      </c>
      <c r="E191" s="26">
        <f t="shared" si="28"/>
        <v>0</v>
      </c>
      <c r="F191" s="421">
        <f t="shared" si="29"/>
        <v>0</v>
      </c>
      <c r="G191" s="139"/>
      <c r="H191" t="s">
        <v>496</v>
      </c>
    </row>
    <row r="192" spans="1:18">
      <c r="A192" s="269">
        <f>A$190*$A$44*0.62</f>
        <v>1116</v>
      </c>
      <c r="B192" s="269">
        <f>B$190*$A$44*0.62*B191</f>
        <v>145080</v>
      </c>
      <c r="C192" s="238" t="s">
        <v>133</v>
      </c>
      <c r="D192" s="238" t="s">
        <v>571</v>
      </c>
      <c r="E192" s="26">
        <f t="shared" si="28"/>
        <v>143964</v>
      </c>
      <c r="F192" s="421">
        <f t="shared" si="29"/>
        <v>129</v>
      </c>
      <c r="G192" s="139"/>
      <c r="N192" s="3"/>
      <c r="O192" s="3"/>
      <c r="P192" s="3"/>
      <c r="Q192" s="3"/>
      <c r="R192" s="3"/>
    </row>
    <row r="193" spans="1:18">
      <c r="A193" s="246">
        <f>A190*$A$45*0.62*A191</f>
        <v>37.200000000000003</v>
      </c>
      <c r="B193" s="246">
        <f>B190*$A$45*0.62*B191</f>
        <v>48360</v>
      </c>
      <c r="C193" s="238" t="s">
        <v>133</v>
      </c>
      <c r="D193" s="238" t="s">
        <v>572</v>
      </c>
      <c r="E193" s="26">
        <f t="shared" si="28"/>
        <v>48322.8</v>
      </c>
      <c r="F193" s="421">
        <f t="shared" si="29"/>
        <v>1299</v>
      </c>
      <c r="G193" s="139"/>
      <c r="N193" s="3"/>
      <c r="O193" s="3"/>
      <c r="P193" s="3"/>
      <c r="Q193" s="3"/>
      <c r="R193" s="3"/>
    </row>
    <row r="194" spans="1:18">
      <c r="A194" s="250">
        <v>0.5</v>
      </c>
      <c r="B194" s="251">
        <v>0.5</v>
      </c>
      <c r="C194" s="234"/>
      <c r="D194" s="235" t="s">
        <v>569</v>
      </c>
      <c r="E194" s="26">
        <f t="shared" si="28"/>
        <v>0</v>
      </c>
      <c r="F194" s="421">
        <f t="shared" si="29"/>
        <v>0</v>
      </c>
      <c r="G194" s="139"/>
      <c r="H194" t="s">
        <v>496</v>
      </c>
    </row>
    <row r="195" spans="1:18">
      <c r="A195" s="246">
        <f>A190*$A46*0.62*A194</f>
        <v>31</v>
      </c>
      <c r="B195" s="246">
        <f>B190*$A46*0.62*B194</f>
        <v>40300</v>
      </c>
      <c r="C195" s="238" t="s">
        <v>557</v>
      </c>
      <c r="D195" s="238" t="s">
        <v>568</v>
      </c>
      <c r="E195" s="26">
        <f t="shared" si="28"/>
        <v>40269</v>
      </c>
      <c r="F195" s="421">
        <f t="shared" si="29"/>
        <v>1299</v>
      </c>
      <c r="G195" s="139"/>
      <c r="N195" s="3"/>
      <c r="O195" s="3"/>
      <c r="P195" s="3"/>
      <c r="Q195" s="3"/>
      <c r="R195" s="3"/>
    </row>
    <row r="196" spans="1:18" ht="14" thickBot="1">
      <c r="A196" s="247">
        <f>A195/60</f>
        <v>0.51666666666666672</v>
      </c>
      <c r="B196" s="249">
        <f>B195/60</f>
        <v>671.66666666666663</v>
      </c>
      <c r="C196" s="249" t="s">
        <v>319</v>
      </c>
      <c r="D196" s="249" t="s">
        <v>568</v>
      </c>
      <c r="E196" s="26">
        <f t="shared" si="28"/>
        <v>671.15</v>
      </c>
      <c r="F196" s="421">
        <f t="shared" si="29"/>
        <v>1298.9999999999998</v>
      </c>
      <c r="G196" s="139"/>
      <c r="N196" s="3"/>
      <c r="O196" s="3"/>
      <c r="P196" s="3"/>
      <c r="Q196" s="3"/>
      <c r="R196" s="3"/>
    </row>
    <row r="197" spans="1:18" ht="15" thickTop="1" thickBot="1">
      <c r="A197" s="27"/>
      <c r="B197" s="10"/>
      <c r="C197" s="7"/>
      <c r="D197" s="8"/>
      <c r="E197" s="26"/>
      <c r="F197" s="412"/>
      <c r="G197" s="139"/>
    </row>
    <row r="198" spans="1:18" ht="14" thickTop="1">
      <c r="A198" s="240" t="s">
        <v>574</v>
      </c>
      <c r="B198" s="276"/>
      <c r="C198" s="242"/>
      <c r="D198" s="243"/>
      <c r="E198" s="244"/>
      <c r="F198" s="417"/>
      <c r="G198" s="42"/>
    </row>
    <row r="199" spans="1:18" s="117" customFormat="1">
      <c r="A199" s="271">
        <f>A41</f>
        <v>100</v>
      </c>
      <c r="B199" s="234">
        <f>B41</f>
        <v>1000</v>
      </c>
      <c r="C199" s="234" t="str">
        <f>C41</f>
        <v>ft2</v>
      </c>
      <c r="D199" s="234" t="str">
        <f>D41</f>
        <v>Area developed for infiltration</v>
      </c>
      <c r="E199" s="26">
        <f t="shared" ref="E199:E219" si="30">B199-A199</f>
        <v>900</v>
      </c>
      <c r="F199" s="421">
        <f t="shared" ref="F199:F219" si="31">IFERROR((B199-A199)/A199,"~  ")</f>
        <v>9</v>
      </c>
      <c r="G199" s="44"/>
    </row>
    <row r="200" spans="1:18" s="117" customFormat="1">
      <c r="A200" s="288">
        <v>100</v>
      </c>
      <c r="B200" s="289">
        <v>500</v>
      </c>
      <c r="C200" s="234" t="s">
        <v>250</v>
      </c>
      <c r="D200" s="234" t="s">
        <v>575</v>
      </c>
      <c r="E200" s="26">
        <f t="shared" si="30"/>
        <v>400</v>
      </c>
      <c r="F200" s="421">
        <f t="shared" si="31"/>
        <v>4</v>
      </c>
      <c r="G200" s="44"/>
    </row>
    <row r="201" spans="1:18" s="117" customFormat="1">
      <c r="A201" s="290">
        <v>0.1</v>
      </c>
      <c r="B201" s="291">
        <v>1</v>
      </c>
      <c r="C201" s="234" t="s">
        <v>254</v>
      </c>
      <c r="D201" s="234" t="s">
        <v>576</v>
      </c>
      <c r="E201" s="26">
        <f t="shared" si="30"/>
        <v>0.9</v>
      </c>
      <c r="F201" s="421">
        <f t="shared" si="31"/>
        <v>9</v>
      </c>
      <c r="G201" s="44"/>
    </row>
    <row r="202" spans="1:18">
      <c r="A202" s="271">
        <f>A201*A200</f>
        <v>10</v>
      </c>
      <c r="B202" s="234">
        <f>B201*B200</f>
        <v>500</v>
      </c>
      <c r="C202" s="263" t="s">
        <v>256</v>
      </c>
      <c r="D202" s="235" t="s">
        <v>577</v>
      </c>
      <c r="E202" s="26">
        <f t="shared" si="30"/>
        <v>490</v>
      </c>
      <c r="F202" s="421">
        <f t="shared" si="31"/>
        <v>49</v>
      </c>
      <c r="G202" s="42"/>
    </row>
    <row r="203" spans="1:18">
      <c r="A203" s="246">
        <f>A202*7.481</f>
        <v>74.81</v>
      </c>
      <c r="B203" s="238">
        <f>B202*7.481</f>
        <v>3740.5</v>
      </c>
      <c r="C203" s="234" t="s">
        <v>301</v>
      </c>
      <c r="D203" s="235" t="s">
        <v>8</v>
      </c>
      <c r="E203" s="26">
        <f t="shared" si="30"/>
        <v>3665.69</v>
      </c>
      <c r="F203" s="421">
        <f t="shared" si="31"/>
        <v>49</v>
      </c>
      <c r="G203" s="42"/>
    </row>
    <row r="204" spans="1:18">
      <c r="A204" s="246">
        <f>A203/A196</f>
        <v>144.79354838709676</v>
      </c>
      <c r="B204" s="238">
        <f>B203/B196</f>
        <v>5.568982630272953</v>
      </c>
      <c r="C204" s="234" t="s">
        <v>241</v>
      </c>
      <c r="D204" s="253" t="s">
        <v>9</v>
      </c>
      <c r="E204" s="26">
        <f t="shared" si="30"/>
        <v>-139.22456575682381</v>
      </c>
      <c r="F204" s="421">
        <f t="shared" si="31"/>
        <v>-0.96153846153846156</v>
      </c>
      <c r="G204" s="42"/>
    </row>
    <row r="205" spans="1:18">
      <c r="A205" s="246">
        <f>A43</f>
        <v>60</v>
      </c>
      <c r="B205" s="238">
        <f>B43</f>
        <v>20</v>
      </c>
      <c r="C205" s="234" t="s">
        <v>10</v>
      </c>
      <c r="D205" s="253" t="s">
        <v>11</v>
      </c>
      <c r="E205" s="26">
        <f t="shared" si="30"/>
        <v>-40</v>
      </c>
      <c r="F205" s="421">
        <f t="shared" si="31"/>
        <v>-0.66666666666666663</v>
      </c>
      <c r="G205" s="42"/>
    </row>
    <row r="206" spans="1:18">
      <c r="A206" s="246">
        <f>1440/(A205*12)</f>
        <v>2</v>
      </c>
      <c r="B206" s="238">
        <f>1440/(B205*12)</f>
        <v>6</v>
      </c>
      <c r="C206" s="234" t="s">
        <v>12</v>
      </c>
      <c r="D206" s="253" t="s">
        <v>11</v>
      </c>
      <c r="E206" s="26">
        <f t="shared" si="30"/>
        <v>4</v>
      </c>
      <c r="F206" s="421">
        <f t="shared" si="31"/>
        <v>2</v>
      </c>
      <c r="G206" s="42"/>
    </row>
    <row r="207" spans="1:18" s="117" customFormat="1">
      <c r="A207" s="290">
        <v>0.33</v>
      </c>
      <c r="B207" s="291">
        <v>0.33</v>
      </c>
      <c r="C207" s="234"/>
      <c r="D207" s="234" t="s">
        <v>578</v>
      </c>
      <c r="E207" s="26">
        <f t="shared" si="30"/>
        <v>0</v>
      </c>
      <c r="F207" s="421">
        <f t="shared" si="31"/>
        <v>0</v>
      </c>
      <c r="G207" s="44"/>
    </row>
    <row r="208" spans="1:18">
      <c r="A208" s="271">
        <f>A206*A200*A207</f>
        <v>66</v>
      </c>
      <c r="B208" s="234">
        <f>B206*B200*B207</f>
        <v>990</v>
      </c>
      <c r="C208" s="263" t="s">
        <v>256</v>
      </c>
      <c r="D208" s="253" t="s">
        <v>13</v>
      </c>
      <c r="E208" s="26">
        <f t="shared" si="30"/>
        <v>924</v>
      </c>
      <c r="F208" s="421">
        <f t="shared" si="31"/>
        <v>14</v>
      </c>
      <c r="G208" s="42"/>
    </row>
    <row r="209" spans="1:7">
      <c r="A209" s="246">
        <f>A208*7.481</f>
        <v>493.74599999999998</v>
      </c>
      <c r="B209" s="238">
        <f>B208*7.481</f>
        <v>7406.19</v>
      </c>
      <c r="C209" s="234" t="s">
        <v>301</v>
      </c>
      <c r="D209" s="253" t="s">
        <v>13</v>
      </c>
      <c r="E209" s="26">
        <f t="shared" si="30"/>
        <v>6912.4439999999995</v>
      </c>
      <c r="F209" s="421">
        <f t="shared" si="31"/>
        <v>14</v>
      </c>
      <c r="G209" s="42"/>
    </row>
    <row r="210" spans="1:7">
      <c r="A210" s="246">
        <f>A209/A200</f>
        <v>4.9374599999999997</v>
      </c>
      <c r="B210" s="238">
        <f>B209/B200</f>
        <v>14.812379999999999</v>
      </c>
      <c r="C210" s="234" t="s">
        <v>14</v>
      </c>
      <c r="D210" s="253" t="s">
        <v>15</v>
      </c>
      <c r="E210" s="26">
        <f t="shared" si="30"/>
        <v>9.8749199999999995</v>
      </c>
      <c r="F210" s="421">
        <f t="shared" si="31"/>
        <v>2</v>
      </c>
      <c r="G210" s="42"/>
    </row>
    <row r="211" spans="1:7">
      <c r="A211" s="292">
        <f>A209/1440</f>
        <v>0.34287916666666668</v>
      </c>
      <c r="B211" s="293">
        <f>B209/1440</f>
        <v>5.1431874999999998</v>
      </c>
      <c r="C211" s="234" t="s">
        <v>319</v>
      </c>
      <c r="D211" s="253" t="s">
        <v>11</v>
      </c>
      <c r="E211" s="26">
        <f t="shared" si="30"/>
        <v>4.8003083333333327</v>
      </c>
      <c r="F211" s="421">
        <f t="shared" si="31"/>
        <v>13.999999999999998</v>
      </c>
      <c r="G211" s="42"/>
    </row>
    <row r="212" spans="1:7">
      <c r="A212" s="294"/>
      <c r="B212" s="295">
        <f>B211/B196/A46</f>
        <v>7.6573511166253107E-3</v>
      </c>
      <c r="C212" s="234" t="s">
        <v>7</v>
      </c>
      <c r="D212" s="253" t="s">
        <v>16</v>
      </c>
      <c r="E212" s="26">
        <f t="shared" si="30"/>
        <v>7.6573511166253107E-3</v>
      </c>
      <c r="F212" s="421" t="str">
        <f t="shared" si="31"/>
        <v xml:space="preserve">~  </v>
      </c>
      <c r="G212" s="42"/>
    </row>
    <row r="213" spans="1:7">
      <c r="A213" s="288">
        <v>10</v>
      </c>
      <c r="B213" s="289">
        <v>10</v>
      </c>
      <c r="C213" s="234"/>
      <c r="D213" s="253" t="s">
        <v>17</v>
      </c>
      <c r="E213" s="26">
        <f t="shared" si="30"/>
        <v>0</v>
      </c>
      <c r="F213" s="421">
        <f t="shared" si="31"/>
        <v>0</v>
      </c>
      <c r="G213" s="42"/>
    </row>
    <row r="214" spans="1:7">
      <c r="A214" s="271">
        <f>A213*24</f>
        <v>240</v>
      </c>
      <c r="B214" s="234">
        <f>B213*24</f>
        <v>240</v>
      </c>
      <c r="C214" s="234" t="s">
        <v>18</v>
      </c>
      <c r="D214" s="253" t="s">
        <v>414</v>
      </c>
      <c r="E214" s="26">
        <f t="shared" si="30"/>
        <v>0</v>
      </c>
      <c r="F214" s="421">
        <f t="shared" si="31"/>
        <v>0</v>
      </c>
      <c r="G214" s="42"/>
    </row>
    <row r="215" spans="1:7">
      <c r="A215" s="282">
        <f>A214/(365*24)</f>
        <v>2.7397260273972601E-2</v>
      </c>
      <c r="B215" s="283">
        <f>B214/(365*24)</f>
        <v>2.7397260273972601E-2</v>
      </c>
      <c r="C215" s="234"/>
      <c r="D215" s="253" t="s">
        <v>19</v>
      </c>
      <c r="E215" s="26">
        <f t="shared" si="30"/>
        <v>0</v>
      </c>
      <c r="F215" s="421">
        <f t="shared" si="31"/>
        <v>0</v>
      </c>
      <c r="G215" s="42"/>
    </row>
    <row r="216" spans="1:7">
      <c r="A216" s="296">
        <f>A214*60*A211</f>
        <v>4937.46</v>
      </c>
      <c r="B216" s="297">
        <f>B214*60*B211</f>
        <v>74061.899999999994</v>
      </c>
      <c r="C216" s="234" t="s">
        <v>133</v>
      </c>
      <c r="D216" s="298" t="s">
        <v>413</v>
      </c>
      <c r="E216" s="26">
        <f t="shared" si="30"/>
        <v>69124.439999999988</v>
      </c>
      <c r="F216" s="421">
        <f t="shared" si="31"/>
        <v>13.999999999999998</v>
      </c>
      <c r="G216" s="42"/>
    </row>
    <row r="217" spans="1:7">
      <c r="A217" s="250">
        <v>0.15</v>
      </c>
      <c r="B217" s="251">
        <v>0.15</v>
      </c>
      <c r="C217" s="234"/>
      <c r="D217" s="253" t="s">
        <v>245</v>
      </c>
      <c r="E217" s="26">
        <f t="shared" si="30"/>
        <v>0</v>
      </c>
      <c r="F217" s="421">
        <f t="shared" si="31"/>
        <v>0</v>
      </c>
      <c r="G217" s="42"/>
    </row>
    <row r="218" spans="1:7">
      <c r="A218" s="296">
        <f>A216*A217</f>
        <v>740.61900000000003</v>
      </c>
      <c r="B218" s="297">
        <f>B216*B217</f>
        <v>11109.284999999998</v>
      </c>
      <c r="C218" s="234" t="s">
        <v>133</v>
      </c>
      <c r="D218" s="298" t="s">
        <v>246</v>
      </c>
      <c r="E218" s="26">
        <f t="shared" si="30"/>
        <v>10368.665999999997</v>
      </c>
      <c r="F218" s="421">
        <f t="shared" si="31"/>
        <v>13.999999999999996</v>
      </c>
      <c r="G218" s="42"/>
    </row>
    <row r="219" spans="1:7" ht="14" thickBot="1">
      <c r="A219" s="266">
        <f>A216-A218</f>
        <v>4196.8410000000003</v>
      </c>
      <c r="B219" s="267">
        <f>B216-B218</f>
        <v>62952.614999999998</v>
      </c>
      <c r="C219" s="260" t="s">
        <v>252</v>
      </c>
      <c r="D219" s="299" t="s">
        <v>247</v>
      </c>
      <c r="E219" s="26">
        <f t="shared" si="30"/>
        <v>58755.773999999998</v>
      </c>
      <c r="F219" s="421">
        <f t="shared" si="31"/>
        <v>13.999999999999998</v>
      </c>
      <c r="G219" s="42"/>
    </row>
    <row r="220" spans="1:7" ht="15" thickTop="1" thickBot="1">
      <c r="A220" s="13"/>
      <c r="B220" s="13"/>
      <c r="C220" s="7"/>
      <c r="D220" s="8"/>
      <c r="E220" s="23"/>
      <c r="F220" s="420"/>
      <c r="G220" s="42"/>
    </row>
    <row r="221" spans="1:7" ht="14" thickTop="1">
      <c r="A221" s="275" t="s">
        <v>5</v>
      </c>
      <c r="B221" s="276"/>
      <c r="C221" s="242"/>
      <c r="D221" s="243"/>
      <c r="E221" s="244"/>
      <c r="F221" s="417"/>
      <c r="G221" s="42"/>
    </row>
    <row r="222" spans="1:7">
      <c r="A222" s="288">
        <v>80</v>
      </c>
      <c r="B222" s="289"/>
      <c r="C222" s="263" t="s">
        <v>319</v>
      </c>
      <c r="D222" s="235" t="s">
        <v>243</v>
      </c>
      <c r="E222" s="26">
        <f t="shared" ref="E222:E228" si="32">B222-A222</f>
        <v>-80</v>
      </c>
      <c r="F222" s="421">
        <f t="shared" ref="F222:F228" si="33">IFERROR((B222-A222)/A222,"~  ")</f>
        <v>-1</v>
      </c>
      <c r="G222" s="42"/>
    </row>
    <row r="223" spans="1:7">
      <c r="A223" s="300">
        <v>1</v>
      </c>
      <c r="B223" s="301"/>
      <c r="C223" s="263" t="s">
        <v>244</v>
      </c>
      <c r="D223" s="235" t="s">
        <v>243</v>
      </c>
      <c r="E223" s="26">
        <f t="shared" si="32"/>
        <v>-1</v>
      </c>
      <c r="F223" s="421">
        <f t="shared" si="33"/>
        <v>-1</v>
      </c>
      <c r="G223" s="42"/>
    </row>
    <row r="224" spans="1:7">
      <c r="A224" s="302">
        <f>A223*A222*1440</f>
        <v>115200</v>
      </c>
      <c r="B224" s="303"/>
      <c r="C224" s="263" t="s">
        <v>133</v>
      </c>
      <c r="D224" s="235" t="s">
        <v>124</v>
      </c>
      <c r="E224" s="26">
        <f t="shared" si="32"/>
        <v>-115200</v>
      </c>
      <c r="F224" s="421">
        <f t="shared" si="33"/>
        <v>-1</v>
      </c>
      <c r="G224" s="42"/>
    </row>
    <row r="225" spans="1:7">
      <c r="A225" s="302">
        <f>A184-A224</f>
        <v>-90090</v>
      </c>
      <c r="B225" s="303"/>
      <c r="C225" s="257" t="s">
        <v>133</v>
      </c>
      <c r="D225" s="253" t="s">
        <v>4</v>
      </c>
      <c r="E225" s="26">
        <f t="shared" si="32"/>
        <v>90090</v>
      </c>
      <c r="F225" s="421">
        <f t="shared" si="33"/>
        <v>-1</v>
      </c>
      <c r="G225" s="42"/>
    </row>
    <row r="226" spans="1:7">
      <c r="A226" s="250">
        <v>0.15</v>
      </c>
      <c r="B226" s="251"/>
      <c r="C226" s="234"/>
      <c r="D226" s="253" t="s">
        <v>245</v>
      </c>
      <c r="E226" s="26">
        <f t="shared" si="32"/>
        <v>-0.15</v>
      </c>
      <c r="F226" s="421">
        <f t="shared" si="33"/>
        <v>-1</v>
      </c>
      <c r="G226" s="42"/>
    </row>
    <row r="227" spans="1:7">
      <c r="A227" s="296">
        <f>A224*A226</f>
        <v>17280</v>
      </c>
      <c r="B227" s="297"/>
      <c r="C227" s="234" t="s">
        <v>133</v>
      </c>
      <c r="D227" s="253" t="s">
        <v>246</v>
      </c>
      <c r="E227" s="26">
        <f t="shared" si="32"/>
        <v>-17280</v>
      </c>
      <c r="F227" s="421">
        <f t="shared" si="33"/>
        <v>-1</v>
      </c>
      <c r="G227" s="42"/>
    </row>
    <row r="228" spans="1:7" ht="14" thickBot="1">
      <c r="A228" s="266">
        <f>A224-A227</f>
        <v>97920</v>
      </c>
      <c r="B228" s="267"/>
      <c r="C228" s="260" t="s">
        <v>252</v>
      </c>
      <c r="D228" s="268" t="s">
        <v>247</v>
      </c>
      <c r="E228" s="26">
        <f t="shared" si="32"/>
        <v>-97920</v>
      </c>
      <c r="F228" s="421">
        <f t="shared" si="33"/>
        <v>-1</v>
      </c>
      <c r="G228" s="42"/>
    </row>
    <row r="229" spans="1:7" ht="15" thickTop="1" thickBot="1">
      <c r="A229" s="13"/>
      <c r="B229" s="13"/>
      <c r="C229" s="26"/>
      <c r="D229" s="8"/>
      <c r="F229" s="420"/>
      <c r="G229" s="42"/>
    </row>
    <row r="230" spans="1:7" ht="14" thickTop="1">
      <c r="A230" s="240" t="s">
        <v>415</v>
      </c>
      <c r="B230" s="241"/>
      <c r="C230" s="242"/>
      <c r="D230" s="243"/>
      <c r="E230" s="244"/>
      <c r="F230" s="417"/>
      <c r="G230" s="42"/>
    </row>
    <row r="231" spans="1:7">
      <c r="A231" s="296">
        <f>A219+A187+A170+A156</f>
        <v>38448.275999999998</v>
      </c>
      <c r="B231" s="297">
        <f>B219+B187+B170+B156</f>
        <v>136231.965</v>
      </c>
      <c r="C231" s="252" t="s">
        <v>133</v>
      </c>
      <c r="D231" s="253" t="s">
        <v>248</v>
      </c>
      <c r="E231" s="26">
        <f t="shared" ref="E231:E233" si="34">B231-A231</f>
        <v>97783.688999999998</v>
      </c>
      <c r="F231" s="421">
        <f t="shared" ref="F231:F233" si="35">IFERROR((B231-A231)/A231,"~  ")</f>
        <v>2.5432528886340706</v>
      </c>
      <c r="G231" s="42"/>
    </row>
    <row r="232" spans="1:7">
      <c r="A232" s="296">
        <f>A231-A52</f>
        <v>-68111.724000000017</v>
      </c>
      <c r="B232" s="297">
        <f>B231-B52</f>
        <v>31133.228999999978</v>
      </c>
      <c r="C232" s="252" t="s">
        <v>133</v>
      </c>
      <c r="D232" s="253" t="s">
        <v>2</v>
      </c>
      <c r="E232" s="26">
        <f t="shared" si="34"/>
        <v>99244.952999999994</v>
      </c>
      <c r="F232" s="421">
        <f t="shared" si="35"/>
        <v>-1.457090603080315</v>
      </c>
      <c r="G232" s="42"/>
    </row>
    <row r="233" spans="1:7" ht="14" thickBot="1">
      <c r="A233" s="304">
        <f>A52/A231</f>
        <v>2.7715156851246081</v>
      </c>
      <c r="B233" s="305">
        <f>B52/B231</f>
        <v>0.7714689867389054</v>
      </c>
      <c r="C233" s="262"/>
      <c r="D233" s="306" t="s">
        <v>416</v>
      </c>
      <c r="E233" s="26">
        <f t="shared" si="34"/>
        <v>-2.0000466983857028</v>
      </c>
      <c r="F233" s="421">
        <f t="shared" si="35"/>
        <v>-0.72164365120516361</v>
      </c>
      <c r="G233" s="42"/>
    </row>
    <row r="234" spans="1:7" ht="14" thickTop="1">
      <c r="A234" s="273"/>
      <c r="B234" s="273"/>
      <c r="C234" s="26"/>
      <c r="D234" s="12" t="s">
        <v>579</v>
      </c>
      <c r="F234" s="420"/>
      <c r="G234" s="42" t="s">
        <v>581</v>
      </c>
    </row>
    <row r="235" spans="1:7">
      <c r="A235" s="273"/>
      <c r="B235" s="273"/>
      <c r="C235" s="26"/>
      <c r="D235" s="12" t="s">
        <v>580</v>
      </c>
      <c r="F235" s="420"/>
      <c r="G235" s="42" t="s">
        <v>581</v>
      </c>
    </row>
    <row r="236" spans="1:7">
      <c r="A236" s="273"/>
      <c r="B236" s="273"/>
      <c r="C236" s="26"/>
      <c r="D236" s="12"/>
      <c r="F236" s="420"/>
      <c r="G236" s="42"/>
    </row>
    <row r="237" spans="1:7">
      <c r="A237" s="273"/>
      <c r="B237" s="273"/>
      <c r="C237" s="26"/>
      <c r="D237" s="12"/>
      <c r="F237" s="420"/>
      <c r="G237" s="42"/>
    </row>
    <row r="238" spans="1:7" ht="14" thickBot="1">
      <c r="B238" s="2"/>
      <c r="C238" s="6"/>
      <c r="D238"/>
      <c r="E238" s="23"/>
      <c r="F238" s="420"/>
      <c r="G238" s="42"/>
    </row>
    <row r="239" spans="1:7" ht="14" thickTop="1">
      <c r="A239" s="307" t="s">
        <v>566</v>
      </c>
      <c r="B239" s="308"/>
      <c r="C239" s="309"/>
      <c r="D239" s="310"/>
      <c r="E239" s="311"/>
      <c r="F239" s="423"/>
      <c r="G239" s="54"/>
    </row>
    <row r="240" spans="1:7">
      <c r="A240" s="312">
        <f>A38</f>
        <v>500</v>
      </c>
      <c r="B240" s="313"/>
      <c r="C240" s="257" t="s">
        <v>250</v>
      </c>
      <c r="D240" s="253" t="s">
        <v>538</v>
      </c>
      <c r="E240" s="314"/>
      <c r="F240" s="424"/>
      <c r="G240" s="272" t="s">
        <v>567</v>
      </c>
    </row>
    <row r="241" spans="1:7">
      <c r="A241" s="315">
        <f>(A240^0.5)*4*1.5</f>
        <v>134.1640786499874</v>
      </c>
      <c r="B241" s="316"/>
      <c r="C241" s="257" t="s">
        <v>250</v>
      </c>
      <c r="D241" s="253" t="s">
        <v>404</v>
      </c>
      <c r="E241" s="314"/>
      <c r="F241" s="424"/>
      <c r="G241" s="54"/>
    </row>
    <row r="242" spans="1:7">
      <c r="A242" s="315">
        <v>240</v>
      </c>
      <c r="B242" s="316"/>
      <c r="C242" s="257" t="s">
        <v>250</v>
      </c>
      <c r="D242" s="253" t="s">
        <v>242</v>
      </c>
      <c r="E242" s="314"/>
      <c r="F242" s="424"/>
      <c r="G242" s="54"/>
    </row>
    <row r="243" spans="1:7">
      <c r="A243" s="315">
        <v>0</v>
      </c>
      <c r="B243" s="316"/>
      <c r="C243" s="257" t="s">
        <v>250</v>
      </c>
      <c r="D243" s="253" t="s">
        <v>404</v>
      </c>
      <c r="E243" s="314"/>
      <c r="F243" s="424"/>
      <c r="G243" s="54"/>
    </row>
    <row r="244" spans="1:7">
      <c r="A244" s="312">
        <f>A242+A241+A240+A243</f>
        <v>874.16407864998746</v>
      </c>
      <c r="B244" s="313"/>
      <c r="C244" s="252" t="s">
        <v>250</v>
      </c>
      <c r="D244" s="253" t="s">
        <v>405</v>
      </c>
      <c r="E244" s="314"/>
      <c r="F244" s="424"/>
      <c r="G244" s="54"/>
    </row>
    <row r="245" spans="1:7">
      <c r="A245" s="312">
        <f>A44</f>
        <v>18</v>
      </c>
      <c r="B245" s="313"/>
      <c r="C245" s="252" t="s">
        <v>403</v>
      </c>
      <c r="D245" s="253" t="s">
        <v>406</v>
      </c>
      <c r="E245" s="314"/>
      <c r="F245" s="424"/>
      <c r="G245" s="54"/>
    </row>
    <row r="246" spans="1:7">
      <c r="A246" s="264">
        <f>A244*A245*0.62</f>
        <v>9755.6711177338602</v>
      </c>
      <c r="B246" s="278"/>
      <c r="C246" s="252" t="s">
        <v>133</v>
      </c>
      <c r="D246" s="317" t="s">
        <v>368</v>
      </c>
      <c r="E246" s="314"/>
      <c r="F246" s="424"/>
      <c r="G246" s="54"/>
    </row>
    <row r="247" spans="1:7">
      <c r="A247" s="318">
        <v>0.9</v>
      </c>
      <c r="B247" s="319"/>
      <c r="C247" s="252"/>
      <c r="D247" s="253" t="s">
        <v>412</v>
      </c>
      <c r="E247" s="314"/>
      <c r="F247" s="424"/>
      <c r="G247" s="54"/>
    </row>
    <row r="248" spans="1:7">
      <c r="A248" s="312">
        <f>A246*A247</f>
        <v>8780.1040059604748</v>
      </c>
      <c r="B248" s="313"/>
      <c r="C248" s="252" t="s">
        <v>133</v>
      </c>
      <c r="D248" s="253" t="s">
        <v>360</v>
      </c>
      <c r="E248" s="314"/>
      <c r="F248" s="424"/>
      <c r="G248" s="54"/>
    </row>
    <row r="249" spans="1:7">
      <c r="A249" s="315">
        <v>180</v>
      </c>
      <c r="B249" s="316"/>
      <c r="C249" s="252" t="s">
        <v>112</v>
      </c>
      <c r="D249" s="253" t="s">
        <v>407</v>
      </c>
      <c r="E249" s="314"/>
      <c r="F249" s="424"/>
      <c r="G249" s="54"/>
    </row>
    <row r="250" spans="1:7">
      <c r="A250" s="320">
        <f>A248/A249</f>
        <v>48.778355588669307</v>
      </c>
      <c r="B250" s="252"/>
      <c r="C250" s="252" t="s">
        <v>131</v>
      </c>
      <c r="D250" s="253" t="s">
        <v>113</v>
      </c>
      <c r="E250" s="314"/>
      <c r="F250" s="424"/>
      <c r="G250" s="54"/>
    </row>
    <row r="251" spans="1:7">
      <c r="A251" s="315">
        <v>0</v>
      </c>
      <c r="B251" s="316"/>
      <c r="C251" s="252" t="s">
        <v>133</v>
      </c>
      <c r="D251" s="253" t="s">
        <v>116</v>
      </c>
      <c r="E251" s="314"/>
      <c r="F251" s="424"/>
      <c r="G251" s="54"/>
    </row>
    <row r="252" spans="1:7">
      <c r="A252" s="312">
        <f>B298</f>
        <v>3900</v>
      </c>
      <c r="B252" s="313"/>
      <c r="C252" s="252" t="s">
        <v>133</v>
      </c>
      <c r="D252" s="314" t="s">
        <v>408</v>
      </c>
      <c r="E252" s="314"/>
      <c r="F252" s="424"/>
      <c r="G252" s="54"/>
    </row>
    <row r="253" spans="1:7">
      <c r="A253" s="312">
        <f>B277</f>
        <v>4801.6799999999994</v>
      </c>
      <c r="B253" s="313"/>
      <c r="C253" s="252" t="s">
        <v>133</v>
      </c>
      <c r="D253" s="253" t="s">
        <v>409</v>
      </c>
      <c r="E253" s="314"/>
      <c r="F253" s="424"/>
      <c r="G253" s="54"/>
    </row>
    <row r="254" spans="1:7">
      <c r="A254" s="312">
        <f>A253+A252+A251</f>
        <v>8701.68</v>
      </c>
      <c r="B254" s="313"/>
      <c r="C254" s="252" t="s">
        <v>133</v>
      </c>
      <c r="D254" s="253" t="s">
        <v>410</v>
      </c>
      <c r="E254" s="314"/>
      <c r="F254" s="424"/>
      <c r="G254" s="54"/>
    </row>
    <row r="255" spans="1:7">
      <c r="A255" s="312">
        <f>(A253+A252)/365</f>
        <v>23.840219178082194</v>
      </c>
      <c r="B255" s="313"/>
      <c r="C255" s="252" t="s">
        <v>131</v>
      </c>
      <c r="D255" s="253" t="s">
        <v>410</v>
      </c>
      <c r="E255" s="314"/>
      <c r="F255" s="424"/>
      <c r="G255" s="54"/>
    </row>
    <row r="256" spans="1:7">
      <c r="A256" s="315">
        <v>1100</v>
      </c>
      <c r="B256" s="316"/>
      <c r="C256" s="252" t="s">
        <v>301</v>
      </c>
      <c r="D256" s="253" t="s">
        <v>114</v>
      </c>
      <c r="E256" s="314"/>
      <c r="F256" s="424"/>
      <c r="G256" s="54"/>
    </row>
    <row r="257" spans="1:18">
      <c r="A257" s="312">
        <f>A256/A255</f>
        <v>46.140515394728368</v>
      </c>
      <c r="B257" s="313"/>
      <c r="C257" s="252" t="s">
        <v>112</v>
      </c>
      <c r="D257" s="253" t="s">
        <v>411</v>
      </c>
      <c r="E257" s="314"/>
      <c r="F257" s="424"/>
      <c r="G257" s="54"/>
    </row>
    <row r="258" spans="1:18">
      <c r="A258" s="294">
        <f>(A256/A248)*A245</f>
        <v>2.2550985713333853</v>
      </c>
      <c r="B258" s="295"/>
      <c r="C258" s="252" t="s">
        <v>251</v>
      </c>
      <c r="D258" s="253" t="s">
        <v>115</v>
      </c>
      <c r="E258" s="314"/>
      <c r="F258" s="424"/>
      <c r="G258" s="54"/>
    </row>
    <row r="259" spans="1:18">
      <c r="A259" s="318">
        <v>0.9</v>
      </c>
      <c r="B259" s="319"/>
      <c r="C259" s="252"/>
      <c r="D259" s="253" t="s">
        <v>118</v>
      </c>
      <c r="E259" s="314"/>
      <c r="F259" s="424"/>
      <c r="G259" s="54"/>
    </row>
    <row r="260" spans="1:18">
      <c r="A260" s="321">
        <f>(A249/365)*A259</f>
        <v>0.44383561643835617</v>
      </c>
      <c r="B260" s="322"/>
      <c r="C260" s="252"/>
      <c r="D260" s="253" t="s">
        <v>117</v>
      </c>
      <c r="E260" s="314"/>
      <c r="F260" s="424"/>
      <c r="G260" s="54"/>
    </row>
    <row r="261" spans="1:18">
      <c r="A261" s="264">
        <f>A260*A254</f>
        <v>3862.1155068493154</v>
      </c>
      <c r="B261" s="278"/>
      <c r="C261" s="252" t="s">
        <v>133</v>
      </c>
      <c r="D261" s="317" t="s">
        <v>356</v>
      </c>
      <c r="E261" s="314"/>
      <c r="F261" s="424"/>
      <c r="G261" s="54"/>
    </row>
    <row r="262" spans="1:18">
      <c r="A262" s="323">
        <v>0</v>
      </c>
      <c r="B262" s="324"/>
      <c r="C262" s="252" t="s">
        <v>133</v>
      </c>
      <c r="D262" s="317" t="s">
        <v>357</v>
      </c>
      <c r="E262" s="314"/>
      <c r="F262" s="424"/>
      <c r="G262" s="54"/>
    </row>
    <row r="263" spans="1:18">
      <c r="A263" s="264">
        <f>A262+A261</f>
        <v>3862.1155068493154</v>
      </c>
      <c r="B263" s="278"/>
      <c r="C263" s="252"/>
      <c r="D263" s="317" t="s">
        <v>358</v>
      </c>
      <c r="E263" s="314"/>
      <c r="F263" s="424"/>
      <c r="G263" s="54"/>
    </row>
    <row r="264" spans="1:18">
      <c r="A264" s="320">
        <f>A248-A263</f>
        <v>4917.9884991111594</v>
      </c>
      <c r="B264" s="252"/>
      <c r="C264" s="252"/>
      <c r="D264" s="257" t="s">
        <v>359</v>
      </c>
      <c r="E264" s="314"/>
      <c r="F264" s="424"/>
      <c r="G264" s="54"/>
    </row>
    <row r="265" spans="1:18" ht="14" thickBot="1">
      <c r="A265" s="325">
        <f>A264/A248</f>
        <v>0.56012872920098966</v>
      </c>
      <c r="B265" s="326"/>
      <c r="C265" s="262"/>
      <c r="D265" s="327" t="s">
        <v>359</v>
      </c>
      <c r="E265" s="328"/>
      <c r="F265" s="425"/>
      <c r="G265" s="54"/>
    </row>
    <row r="266" spans="1:18" ht="15" thickTop="1" thickBot="1">
      <c r="A266" s="139"/>
      <c r="B266" s="139"/>
      <c r="C266" s="26"/>
      <c r="D266" s="31"/>
      <c r="E266" s="54"/>
      <c r="F266" s="410"/>
      <c r="G266" s="54"/>
    </row>
    <row r="267" spans="1:18" s="113" customFormat="1" ht="15" thickTop="1" thickBot="1">
      <c r="A267" s="230" t="s">
        <v>366</v>
      </c>
      <c r="B267" s="110"/>
      <c r="C267" s="111"/>
      <c r="D267" s="111"/>
      <c r="E267" s="112"/>
      <c r="F267" s="415"/>
      <c r="G267" s="111"/>
      <c r="N267" s="32"/>
      <c r="O267" s="32"/>
      <c r="P267" s="32"/>
      <c r="Q267" s="32"/>
      <c r="R267" s="32"/>
    </row>
    <row r="268" spans="1:18" ht="15" thickTop="1" thickBot="1">
      <c r="A268" s="13"/>
      <c r="B268" s="13"/>
      <c r="C268" s="7"/>
      <c r="D268" s="8"/>
      <c r="E268" s="23"/>
      <c r="F268" s="420"/>
      <c r="G268" s="42"/>
    </row>
    <row r="269" spans="1:18" ht="14" thickTop="1">
      <c r="A269" s="275" t="s">
        <v>125</v>
      </c>
      <c r="B269" s="276"/>
      <c r="C269" s="329"/>
      <c r="D269" s="329"/>
      <c r="E269" s="329"/>
      <c r="F269" s="417"/>
      <c r="G269" s="13"/>
    </row>
    <row r="270" spans="1:18">
      <c r="A270" s="245" t="s">
        <v>188</v>
      </c>
      <c r="B270" s="233" t="s">
        <v>189</v>
      </c>
      <c r="C270" s="238"/>
      <c r="D270" s="238"/>
      <c r="E270" s="238"/>
      <c r="F270" s="418"/>
      <c r="G270" s="13"/>
    </row>
    <row r="271" spans="1:18">
      <c r="A271" s="246">
        <f>A31</f>
        <v>4</v>
      </c>
      <c r="B271" s="238">
        <f>A31</f>
        <v>4</v>
      </c>
      <c r="C271" s="238"/>
      <c r="D271" s="238" t="s">
        <v>130</v>
      </c>
      <c r="E271" s="238" t="s">
        <v>188</v>
      </c>
      <c r="F271" s="418"/>
      <c r="G271" s="13" t="s">
        <v>582</v>
      </c>
      <c r="H271" s="49" t="s">
        <v>583</v>
      </c>
    </row>
    <row r="272" spans="1:18">
      <c r="A272" s="330">
        <f>A106/A31</f>
        <v>36.542465753424658</v>
      </c>
      <c r="B272" s="331">
        <f>(B279/365)/A31</f>
        <v>20.756120547945205</v>
      </c>
      <c r="C272" s="238" t="s">
        <v>417</v>
      </c>
      <c r="D272" s="235" t="s">
        <v>237</v>
      </c>
      <c r="E272" s="237" t="s">
        <v>126</v>
      </c>
      <c r="F272" s="431"/>
      <c r="G272" s="10"/>
    </row>
    <row r="273" spans="1:7">
      <c r="A273" s="264">
        <f>A272*A31*365</f>
        <v>53352</v>
      </c>
      <c r="B273" s="278"/>
      <c r="C273" s="235" t="s">
        <v>133</v>
      </c>
      <c r="D273" s="235" t="s">
        <v>237</v>
      </c>
      <c r="E273" s="237"/>
      <c r="F273" s="431"/>
      <c r="G273" s="10"/>
    </row>
    <row r="274" spans="1:7">
      <c r="A274" s="271">
        <f>A$273*E274</f>
        <v>5868.72</v>
      </c>
      <c r="B274" s="234">
        <f>A274*(1-E280)</f>
        <v>5868.72</v>
      </c>
      <c r="C274" s="238"/>
      <c r="D274" s="235" t="s">
        <v>371</v>
      </c>
      <c r="E274" s="332">
        <v>0.11</v>
      </c>
      <c r="F274" s="431"/>
      <c r="G274" s="44">
        <v>0.11</v>
      </c>
    </row>
    <row r="275" spans="1:7">
      <c r="A275" s="271">
        <f>A$273*E275</f>
        <v>18139.68</v>
      </c>
      <c r="B275" s="234">
        <f>A275*(1-E281)</f>
        <v>12697.776</v>
      </c>
      <c r="C275" s="238"/>
      <c r="D275" s="235" t="s">
        <v>370</v>
      </c>
      <c r="E275" s="332">
        <v>0.34</v>
      </c>
      <c r="F275" s="431"/>
      <c r="G275" s="44">
        <v>0.34</v>
      </c>
    </row>
    <row r="276" spans="1:7">
      <c r="A276" s="271">
        <f>A$273*E276</f>
        <v>6935.76</v>
      </c>
      <c r="B276" s="234">
        <f>A276*(1-E282)</f>
        <v>6935.76</v>
      </c>
      <c r="C276" s="238"/>
      <c r="D276" s="235" t="s">
        <v>391</v>
      </c>
      <c r="E276" s="332">
        <v>0.13</v>
      </c>
      <c r="F276" s="431"/>
      <c r="G276" s="44">
        <v>0.13</v>
      </c>
    </row>
    <row r="277" spans="1:7">
      <c r="A277" s="271">
        <f>A$273*E277</f>
        <v>8002.7999999999993</v>
      </c>
      <c r="B277" s="234">
        <f>A277*(1-E283)</f>
        <v>4801.6799999999994</v>
      </c>
      <c r="C277" s="238"/>
      <c r="D277" s="235" t="s">
        <v>372</v>
      </c>
      <c r="E277" s="332">
        <v>0.15</v>
      </c>
      <c r="F277" s="431"/>
      <c r="G277" s="44">
        <v>0.15</v>
      </c>
    </row>
    <row r="278" spans="1:7">
      <c r="A278" s="271">
        <f>A273-SUM(A274:A277)</f>
        <v>14405.039999999994</v>
      </c>
      <c r="B278" s="234"/>
      <c r="C278" s="238"/>
      <c r="D278" s="253" t="s">
        <v>419</v>
      </c>
      <c r="E278" s="283">
        <f>A278/A273</f>
        <v>0.26999999999999991</v>
      </c>
      <c r="F278" s="431"/>
      <c r="G278" s="121"/>
    </row>
    <row r="279" spans="1:7">
      <c r="A279" s="255">
        <f>SUM(A274:A277)</f>
        <v>38946.960000000006</v>
      </c>
      <c r="B279" s="278">
        <f>SUM(B274:B277)</f>
        <v>30303.936000000002</v>
      </c>
      <c r="C279" s="238"/>
      <c r="D279" s="235" t="s">
        <v>349</v>
      </c>
      <c r="E279" s="237" t="s">
        <v>127</v>
      </c>
      <c r="F279" s="418"/>
      <c r="G279" s="222"/>
    </row>
    <row r="280" spans="1:7">
      <c r="A280" s="246"/>
      <c r="B280" s="234"/>
      <c r="C280" s="238"/>
      <c r="D280" s="235" t="s">
        <v>371</v>
      </c>
      <c r="E280" s="333">
        <v>0</v>
      </c>
      <c r="F280" s="431"/>
      <c r="G280" s="10"/>
    </row>
    <row r="281" spans="1:7">
      <c r="A281" s="246"/>
      <c r="B281" s="234"/>
      <c r="C281" s="238"/>
      <c r="D281" s="253" t="s">
        <v>128</v>
      </c>
      <c r="E281" s="333">
        <v>0.3</v>
      </c>
      <c r="F281" s="431"/>
      <c r="G281" s="10"/>
    </row>
    <row r="282" spans="1:7">
      <c r="A282" s="246"/>
      <c r="B282" s="234"/>
      <c r="C282" s="238"/>
      <c r="D282" s="235" t="s">
        <v>391</v>
      </c>
      <c r="E282" s="333">
        <v>0</v>
      </c>
      <c r="F282" s="431"/>
      <c r="G282" s="10"/>
    </row>
    <row r="283" spans="1:7">
      <c r="A283" s="246"/>
      <c r="B283" s="234"/>
      <c r="C283" s="238"/>
      <c r="D283" s="235" t="s">
        <v>129</v>
      </c>
      <c r="E283" s="333">
        <v>0.4</v>
      </c>
      <c r="F283" s="422" t="s">
        <v>351</v>
      </c>
      <c r="G283" s="7"/>
    </row>
    <row r="284" spans="1:7">
      <c r="A284" s="246"/>
      <c r="B284" s="278"/>
      <c r="C284" s="238"/>
      <c r="D284" s="235" t="s">
        <v>350</v>
      </c>
      <c r="E284" s="238"/>
      <c r="F284" s="418"/>
      <c r="G284" s="13"/>
    </row>
    <row r="285" spans="1:7">
      <c r="A285" s="264">
        <f>A279-B279</f>
        <v>8643.0240000000049</v>
      </c>
      <c r="B285" s="278"/>
      <c r="C285" s="235" t="s">
        <v>133</v>
      </c>
      <c r="D285" s="265" t="s">
        <v>355</v>
      </c>
      <c r="E285" s="256"/>
      <c r="F285" s="431"/>
      <c r="G285" s="10"/>
    </row>
    <row r="286" spans="1:7" ht="14" thickBot="1">
      <c r="A286" s="247"/>
      <c r="B286" s="334"/>
      <c r="C286" s="261" t="s">
        <v>417</v>
      </c>
      <c r="D286" s="261" t="s">
        <v>338</v>
      </c>
      <c r="E286" s="335"/>
      <c r="F286" s="419"/>
      <c r="G286" s="224"/>
    </row>
    <row r="287" spans="1:7" ht="15" thickTop="1" thickBot="1">
      <c r="A287" s="13"/>
      <c r="B287" s="13"/>
      <c r="C287" s="7"/>
      <c r="D287" s="8"/>
      <c r="E287" s="23"/>
      <c r="F287" s="420"/>
      <c r="G287" s="42"/>
    </row>
    <row r="288" spans="1:7" ht="14" thickTop="1">
      <c r="A288" s="275" t="s">
        <v>34</v>
      </c>
      <c r="B288" s="276"/>
      <c r="C288" s="242"/>
      <c r="D288" s="243"/>
      <c r="E288" s="244"/>
      <c r="F288" s="417"/>
      <c r="G288" s="42"/>
    </row>
    <row r="289" spans="1:8">
      <c r="A289" s="246">
        <f>A31</f>
        <v>4</v>
      </c>
      <c r="B289" s="238"/>
      <c r="C289" s="263"/>
      <c r="D289" s="235" t="s">
        <v>35</v>
      </c>
      <c r="E289" s="237"/>
      <c r="F289" s="418"/>
      <c r="G289" s="42"/>
    </row>
    <row r="290" spans="1:8">
      <c r="A290" s="300">
        <v>1.25</v>
      </c>
      <c r="B290" s="301"/>
      <c r="C290" s="263"/>
      <c r="D290" s="253" t="s">
        <v>36</v>
      </c>
      <c r="E290" s="237"/>
      <c r="F290" s="418"/>
      <c r="G290" s="42"/>
    </row>
    <row r="291" spans="1:8">
      <c r="A291" s="336">
        <v>15</v>
      </c>
      <c r="B291" s="337"/>
      <c r="C291" s="263" t="s">
        <v>37</v>
      </c>
      <c r="D291" s="253"/>
      <c r="E291" s="237"/>
      <c r="F291" s="418"/>
      <c r="G291" s="42"/>
    </row>
    <row r="292" spans="1:8">
      <c r="A292" s="338" t="s">
        <v>133</v>
      </c>
      <c r="B292" s="339"/>
      <c r="C292" s="340" t="s">
        <v>131</v>
      </c>
      <c r="D292" s="253"/>
      <c r="E292" s="237"/>
      <c r="F292" s="418"/>
      <c r="G292" s="42"/>
    </row>
    <row r="293" spans="1:8" ht="14" thickBot="1">
      <c r="A293" s="270">
        <f>A289*A290*A291*52</f>
        <v>3900</v>
      </c>
      <c r="B293" s="260"/>
      <c r="C293" s="268">
        <f>A293/365</f>
        <v>10.684931506849315</v>
      </c>
      <c r="D293" s="306"/>
      <c r="E293" s="287"/>
      <c r="F293" s="419"/>
      <c r="G293" s="42"/>
    </row>
    <row r="294" spans="1:8" ht="15" thickTop="1" thickBot="1">
      <c r="A294" s="39"/>
      <c r="B294" s="7"/>
      <c r="C294" s="9"/>
      <c r="D294" s="12"/>
      <c r="F294" s="420"/>
      <c r="G294" s="42"/>
    </row>
    <row r="295" spans="1:8" ht="14" thickTop="1">
      <c r="A295" s="275" t="s">
        <v>39</v>
      </c>
      <c r="B295" s="276"/>
      <c r="C295" s="242"/>
      <c r="D295" s="243"/>
      <c r="E295" s="244"/>
      <c r="F295" s="417"/>
      <c r="G295" s="42"/>
    </row>
    <row r="296" spans="1:8">
      <c r="A296" s="341" t="s">
        <v>133</v>
      </c>
      <c r="B296" s="340"/>
      <c r="C296" s="340" t="s">
        <v>131</v>
      </c>
      <c r="D296" s="235"/>
      <c r="E296" s="237"/>
      <c r="F296" s="418"/>
      <c r="G296" s="42"/>
    </row>
    <row r="297" spans="1:8">
      <c r="A297" s="246">
        <f>A273-A277</f>
        <v>45349.2</v>
      </c>
      <c r="B297" s="238"/>
      <c r="C297" s="263">
        <f t="shared" ref="C297:C302" si="36">A297/365</f>
        <v>124.24438356164383</v>
      </c>
      <c r="D297" s="235" t="s">
        <v>187</v>
      </c>
      <c r="E297" s="237"/>
      <c r="F297" s="418" t="s">
        <v>353</v>
      </c>
      <c r="G297" s="42"/>
    </row>
    <row r="298" spans="1:8">
      <c r="A298" s="271">
        <f>A274*F298</f>
        <v>5868.72</v>
      </c>
      <c r="B298" s="234">
        <f>A293</f>
        <v>3900</v>
      </c>
      <c r="C298" s="263">
        <f t="shared" si="36"/>
        <v>16.078684931506849</v>
      </c>
      <c r="D298" s="253" t="s">
        <v>371</v>
      </c>
      <c r="E298" s="237"/>
      <c r="F298" s="426">
        <v>1</v>
      </c>
      <c r="G298" s="226"/>
    </row>
    <row r="299" spans="1:8">
      <c r="A299" s="271">
        <f>A275*F299</f>
        <v>18139.68</v>
      </c>
      <c r="B299" s="234">
        <f>B275*F309</f>
        <v>12697.776</v>
      </c>
      <c r="C299" s="263">
        <f t="shared" si="36"/>
        <v>49.697753424657535</v>
      </c>
      <c r="D299" s="253" t="s">
        <v>370</v>
      </c>
      <c r="E299" s="237"/>
      <c r="F299" s="426">
        <v>1</v>
      </c>
      <c r="G299" s="226"/>
    </row>
    <row r="300" spans="1:8">
      <c r="A300" s="271">
        <f>A276*F300</f>
        <v>0</v>
      </c>
      <c r="B300" s="234">
        <f>B276*F310</f>
        <v>0</v>
      </c>
      <c r="C300" s="263">
        <f t="shared" si="36"/>
        <v>0</v>
      </c>
      <c r="D300" s="253" t="s">
        <v>391</v>
      </c>
      <c r="E300" s="237"/>
      <c r="F300" s="426">
        <v>0</v>
      </c>
      <c r="G300" s="226"/>
      <c r="H300" t="s">
        <v>149</v>
      </c>
    </row>
    <row r="301" spans="1:8">
      <c r="A301" s="271">
        <f>A277*F301</f>
        <v>0</v>
      </c>
      <c r="B301" s="234">
        <f>B277*F311</f>
        <v>0</v>
      </c>
      <c r="C301" s="263">
        <f t="shared" si="36"/>
        <v>0</v>
      </c>
      <c r="D301" s="253" t="s">
        <v>372</v>
      </c>
      <c r="E301" s="237"/>
      <c r="F301" s="426">
        <v>0</v>
      </c>
      <c r="G301" s="226"/>
    </row>
    <row r="302" spans="1:8">
      <c r="A302" s="342">
        <f>SUM(A298:A301)</f>
        <v>24008.400000000001</v>
      </c>
      <c r="B302" s="343">
        <f>SUM(B298:B301)</f>
        <v>16597.775999999998</v>
      </c>
      <c r="C302" s="263">
        <f t="shared" si="36"/>
        <v>65.776438356164391</v>
      </c>
      <c r="D302" s="279" t="s">
        <v>38</v>
      </c>
      <c r="E302" s="237"/>
      <c r="F302" s="418"/>
      <c r="G302" s="42"/>
    </row>
    <row r="303" spans="1:8">
      <c r="A303" s="344">
        <v>0.02</v>
      </c>
      <c r="B303" s="333">
        <v>0.5</v>
      </c>
      <c r="C303" s="263"/>
      <c r="D303" s="257" t="s">
        <v>354</v>
      </c>
      <c r="E303" s="237"/>
      <c r="F303" s="418"/>
      <c r="G303" s="42"/>
      <c r="H303" t="s">
        <v>348</v>
      </c>
    </row>
    <row r="304" spans="1:8" ht="14" thickBot="1">
      <c r="A304" s="266">
        <f>A302*A303</f>
        <v>480.16800000000006</v>
      </c>
      <c r="B304" s="267">
        <f>B302*B303</f>
        <v>8298.887999999999</v>
      </c>
      <c r="C304" s="268">
        <f>A304/365</f>
        <v>1.3155287671232878</v>
      </c>
      <c r="D304" s="345" t="s">
        <v>523</v>
      </c>
      <c r="E304" s="287"/>
      <c r="F304" s="419"/>
      <c r="G304" s="42"/>
    </row>
    <row r="305" spans="1:18" ht="15" thickTop="1" thickBot="1">
      <c r="A305" s="39"/>
      <c r="B305" s="7"/>
      <c r="C305" s="9"/>
      <c r="D305" s="12"/>
      <c r="F305" s="420"/>
      <c r="G305" s="42"/>
    </row>
    <row r="306" spans="1:18" ht="14" thickTop="1">
      <c r="A306" s="52" t="s">
        <v>40</v>
      </c>
      <c r="B306" s="223"/>
      <c r="C306" s="14"/>
      <c r="D306" s="15"/>
      <c r="E306" s="41"/>
      <c r="F306" s="427"/>
      <c r="G306" s="42"/>
    </row>
    <row r="307" spans="1:18">
      <c r="A307" s="114" t="s">
        <v>133</v>
      </c>
      <c r="B307" s="59"/>
      <c r="C307" s="59" t="s">
        <v>131</v>
      </c>
      <c r="D307" s="8"/>
      <c r="F307" s="428" t="s">
        <v>353</v>
      </c>
      <c r="G307" s="42"/>
    </row>
    <row r="308" spans="1:18">
      <c r="B308" s="7"/>
      <c r="C308" s="9">
        <f>B298/365</f>
        <v>10.684931506849315</v>
      </c>
      <c r="D308" s="12" t="s">
        <v>371</v>
      </c>
      <c r="F308" s="429">
        <v>1</v>
      </c>
      <c r="G308" s="226"/>
    </row>
    <row r="309" spans="1:18">
      <c r="B309" s="7"/>
      <c r="C309" s="9">
        <f>B299/365</f>
        <v>34.788427397260271</v>
      </c>
      <c r="D309" s="12" t="s">
        <v>370</v>
      </c>
      <c r="F309" s="429">
        <v>1</v>
      </c>
      <c r="G309" s="226"/>
    </row>
    <row r="310" spans="1:18">
      <c r="B310" s="7"/>
      <c r="C310" s="9">
        <f>B300/365</f>
        <v>0</v>
      </c>
      <c r="D310" s="12" t="s">
        <v>391</v>
      </c>
      <c r="F310" s="429">
        <v>0</v>
      </c>
      <c r="G310" s="226"/>
      <c r="H310" t="s">
        <v>149</v>
      </c>
    </row>
    <row r="311" spans="1:18">
      <c r="B311" s="7"/>
      <c r="C311" s="9">
        <f>B301/365</f>
        <v>0</v>
      </c>
      <c r="D311" s="12" t="s">
        <v>372</v>
      </c>
      <c r="F311" s="429">
        <v>0</v>
      </c>
      <c r="G311" s="226"/>
    </row>
    <row r="312" spans="1:18">
      <c r="B312" s="137"/>
      <c r="C312" s="9">
        <f>B302/365</f>
        <v>45.473358904109581</v>
      </c>
      <c r="D312" s="136" t="s">
        <v>38</v>
      </c>
      <c r="F312" s="428"/>
      <c r="G312" s="42"/>
    </row>
    <row r="313" spans="1:18">
      <c r="B313" s="46"/>
      <c r="C313" s="9"/>
      <c r="D313" s="31" t="s">
        <v>354</v>
      </c>
      <c r="F313" s="428"/>
      <c r="G313" s="42"/>
      <c r="H313" t="s">
        <v>348</v>
      </c>
    </row>
    <row r="314" spans="1:18" ht="14" thickBot="1">
      <c r="B314" s="221"/>
      <c r="C314" s="21">
        <f>B304/365</f>
        <v>22.736679452054791</v>
      </c>
      <c r="D314" s="215" t="s">
        <v>523</v>
      </c>
      <c r="E314" s="43"/>
      <c r="F314" s="430"/>
      <c r="G314" s="42"/>
    </row>
    <row r="315" spans="1:18" s="12" customFormat="1" ht="15" thickTop="1" thickBot="1">
      <c r="A315" s="137"/>
      <c r="B315" s="137"/>
      <c r="C315" s="31"/>
      <c r="D315" s="138"/>
      <c r="E315" s="54"/>
      <c r="F315" s="410"/>
      <c r="G315" s="54"/>
      <c r="N315"/>
      <c r="O315"/>
      <c r="P315"/>
      <c r="Q315"/>
      <c r="R315"/>
    </row>
    <row r="316" spans="1:18" ht="14" thickTop="1">
      <c r="A316" s="275" t="s">
        <v>122</v>
      </c>
      <c r="B316" s="276"/>
      <c r="C316" s="242"/>
      <c r="D316" s="243"/>
      <c r="E316" s="244" t="s">
        <v>42</v>
      </c>
      <c r="F316" s="417"/>
      <c r="G316" s="42"/>
      <c r="N316" s="12"/>
      <c r="O316" s="12"/>
      <c r="P316" s="12"/>
      <c r="Q316" s="12"/>
      <c r="R316" s="12"/>
    </row>
    <row r="317" spans="1:18">
      <c r="A317" s="271">
        <f>A31</f>
        <v>4</v>
      </c>
      <c r="B317" s="234"/>
      <c r="C317" s="263"/>
      <c r="D317" s="235" t="s">
        <v>41</v>
      </c>
      <c r="E317" s="237"/>
      <c r="F317" s="418"/>
      <c r="G317" s="42"/>
    </row>
    <row r="318" spans="1:18">
      <c r="A318" s="346">
        <v>0.5</v>
      </c>
      <c r="B318" s="347"/>
      <c r="C318" s="263" t="s">
        <v>392</v>
      </c>
      <c r="D318" s="235" t="s">
        <v>393</v>
      </c>
      <c r="E318" s="237"/>
      <c r="F318" s="418"/>
      <c r="G318" s="42"/>
    </row>
    <row r="319" spans="1:18">
      <c r="A319" s="346">
        <v>4</v>
      </c>
      <c r="B319" s="347"/>
      <c r="C319" s="263"/>
      <c r="D319" s="235" t="s">
        <v>394</v>
      </c>
      <c r="E319" s="237"/>
      <c r="F319" s="418"/>
      <c r="G319" s="42"/>
    </row>
    <row r="320" spans="1:18">
      <c r="A320" s="264">
        <f>A317*A318*A319*365</f>
        <v>2920</v>
      </c>
      <c r="B320" s="278"/>
      <c r="C320" s="263" t="s">
        <v>252</v>
      </c>
      <c r="D320" s="265" t="s">
        <v>395</v>
      </c>
      <c r="E320" s="237"/>
      <c r="F320" s="418"/>
      <c r="G320" s="42"/>
    </row>
    <row r="321" spans="1:18">
      <c r="A321" s="255">
        <f>A320/52</f>
        <v>56.153846153846153</v>
      </c>
      <c r="B321" s="256"/>
      <c r="C321" s="263" t="s">
        <v>396</v>
      </c>
      <c r="D321" s="265" t="s">
        <v>395</v>
      </c>
      <c r="E321" s="237"/>
      <c r="F321" s="418"/>
      <c r="G321" s="42"/>
    </row>
    <row r="322" spans="1:18" ht="14" thickBot="1">
      <c r="A322" s="258">
        <f>A321/7</f>
        <v>8.0219780219780219</v>
      </c>
      <c r="B322" s="259"/>
      <c r="C322" s="268" t="s">
        <v>302</v>
      </c>
      <c r="D322" s="348" t="s">
        <v>395</v>
      </c>
      <c r="E322" s="287"/>
      <c r="F322" s="419"/>
      <c r="G322" s="42"/>
    </row>
    <row r="323" spans="1:18" ht="15" thickTop="1" thickBot="1">
      <c r="A323" s="13"/>
      <c r="B323" s="13"/>
      <c r="C323" s="7"/>
      <c r="D323" s="8"/>
      <c r="E323" s="23"/>
      <c r="F323" s="420"/>
      <c r="G323" s="42"/>
    </row>
    <row r="324" spans="1:18" s="113" customFormat="1" ht="15" thickTop="1" thickBot="1">
      <c r="A324" s="110" t="s">
        <v>365</v>
      </c>
      <c r="B324" s="110"/>
      <c r="C324" s="115"/>
      <c r="E324" s="112"/>
      <c r="F324" s="415"/>
      <c r="G324" s="111"/>
      <c r="N324"/>
      <c r="O324"/>
      <c r="P324"/>
      <c r="Q324"/>
      <c r="R324"/>
    </row>
    <row r="325" spans="1:18" ht="15" thickTop="1" thickBot="1">
      <c r="A325" s="13"/>
      <c r="B325" s="13"/>
      <c r="C325" s="7"/>
      <c r="D325" s="8"/>
      <c r="E325" s="23"/>
      <c r="F325" s="420"/>
      <c r="G325" s="42"/>
      <c r="N325" s="113"/>
      <c r="O325" s="113"/>
      <c r="P325" s="113"/>
      <c r="Q325" s="113"/>
      <c r="R325" s="113"/>
    </row>
    <row r="326" spans="1:18" ht="14" thickTop="1">
      <c r="A326" s="275" t="s">
        <v>303</v>
      </c>
      <c r="B326" s="276"/>
      <c r="C326" s="242"/>
      <c r="D326" s="243"/>
      <c r="E326" s="244"/>
      <c r="F326" s="417"/>
      <c r="G326" s="42"/>
    </row>
    <row r="327" spans="1:18" s="3" customFormat="1">
      <c r="A327" s="246">
        <f>A174</f>
        <v>7500</v>
      </c>
      <c r="B327" s="238"/>
      <c r="C327" s="234" t="s">
        <v>250</v>
      </c>
      <c r="D327" s="235" t="s">
        <v>249</v>
      </c>
      <c r="E327" s="349"/>
      <c r="F327" s="431"/>
      <c r="G327" s="45"/>
      <c r="N327"/>
      <c r="O327"/>
      <c r="P327"/>
      <c r="Q327"/>
      <c r="R327"/>
    </row>
    <row r="328" spans="1:18">
      <c r="A328" s="350">
        <v>4</v>
      </c>
      <c r="B328" s="351"/>
      <c r="C328" s="234" t="s">
        <v>254</v>
      </c>
      <c r="D328" s="235" t="s">
        <v>327</v>
      </c>
      <c r="E328" s="237"/>
      <c r="F328" s="418"/>
      <c r="G328" s="42"/>
      <c r="N328" s="3"/>
      <c r="O328" s="3"/>
      <c r="P328" s="3"/>
      <c r="Q328" s="3"/>
      <c r="R328" s="3"/>
    </row>
    <row r="329" spans="1:18">
      <c r="A329" s="246">
        <f>A328*A327</f>
        <v>30000</v>
      </c>
      <c r="B329" s="238"/>
      <c r="C329" s="234" t="s">
        <v>256</v>
      </c>
      <c r="D329" s="253" t="s">
        <v>328</v>
      </c>
      <c r="E329" s="237"/>
      <c r="F329" s="418"/>
      <c r="G329" s="42"/>
    </row>
    <row r="330" spans="1:18">
      <c r="A330" s="250">
        <v>0.35</v>
      </c>
      <c r="B330" s="251"/>
      <c r="C330" s="234"/>
      <c r="D330" s="253" t="s">
        <v>339</v>
      </c>
      <c r="E330" s="237"/>
      <c r="F330" s="418"/>
      <c r="G330" s="42"/>
      <c r="H330" t="s">
        <v>238</v>
      </c>
    </row>
    <row r="331" spans="1:18">
      <c r="A331" s="246">
        <f>A330*A329</f>
        <v>10500</v>
      </c>
      <c r="B331" s="238"/>
      <c r="C331" s="234" t="s">
        <v>256</v>
      </c>
      <c r="D331" s="253" t="s">
        <v>232</v>
      </c>
      <c r="E331" s="237"/>
      <c r="F331" s="418"/>
      <c r="G331" s="42"/>
    </row>
    <row r="332" spans="1:18">
      <c r="A332" s="250">
        <v>0.25</v>
      </c>
      <c r="B332" s="251"/>
      <c r="C332" s="234"/>
      <c r="D332" s="253" t="s">
        <v>258</v>
      </c>
      <c r="E332" s="237"/>
      <c r="F332" s="418"/>
      <c r="G332" s="42"/>
      <c r="H332" t="s">
        <v>238</v>
      </c>
    </row>
    <row r="333" spans="1:18">
      <c r="A333" s="246">
        <f>A332*A331</f>
        <v>2625</v>
      </c>
      <c r="B333" s="238"/>
      <c r="C333" s="234" t="s">
        <v>256</v>
      </c>
      <c r="D333" s="253" t="s">
        <v>233</v>
      </c>
      <c r="E333" s="237"/>
      <c r="F333" s="418"/>
      <c r="G333" s="42"/>
    </row>
    <row r="334" spans="1:18">
      <c r="A334" s="350">
        <v>2</v>
      </c>
      <c r="B334" s="351"/>
      <c r="C334" s="234"/>
      <c r="D334" s="253" t="s">
        <v>369</v>
      </c>
      <c r="E334" s="237"/>
      <c r="F334" s="418"/>
      <c r="G334" s="42"/>
      <c r="H334" t="s">
        <v>352</v>
      </c>
    </row>
    <row r="335" spans="1:18" ht="14" thickBot="1">
      <c r="A335" s="266">
        <f>A333*7.481*A334</f>
        <v>39275.25</v>
      </c>
      <c r="B335" s="267"/>
      <c r="C335" s="260" t="s">
        <v>301</v>
      </c>
      <c r="D335" s="352" t="s">
        <v>345</v>
      </c>
      <c r="E335" s="287"/>
      <c r="F335" s="419"/>
      <c r="G335" s="42"/>
    </row>
    <row r="336" spans="1:18" ht="15" thickTop="1" thickBot="1">
      <c r="A336" s="13"/>
      <c r="B336" s="13"/>
      <c r="C336" s="7"/>
      <c r="D336" s="8"/>
      <c r="E336" s="23"/>
      <c r="F336" s="420"/>
      <c r="G336" s="42"/>
    </row>
    <row r="337" spans="1:18" ht="14" thickTop="1">
      <c r="A337" s="275" t="s">
        <v>234</v>
      </c>
      <c r="B337" s="276"/>
      <c r="C337" s="242"/>
      <c r="D337" s="243"/>
      <c r="E337" s="244"/>
      <c r="F337" s="417"/>
      <c r="G337" s="42"/>
    </row>
    <row r="338" spans="1:18">
      <c r="A338" s="350">
        <v>1100</v>
      </c>
      <c r="B338" s="351"/>
      <c r="C338" s="263" t="s">
        <v>301</v>
      </c>
      <c r="D338" s="235" t="s">
        <v>235</v>
      </c>
      <c r="E338" s="237"/>
      <c r="F338" s="418"/>
      <c r="G338" s="42"/>
    </row>
    <row r="339" spans="1:18">
      <c r="A339" s="350">
        <v>0</v>
      </c>
      <c r="B339" s="351"/>
      <c r="C339" s="235" t="s">
        <v>301</v>
      </c>
      <c r="D339" s="235" t="s">
        <v>235</v>
      </c>
      <c r="E339" s="237"/>
      <c r="F339" s="418"/>
      <c r="G339" s="42"/>
    </row>
    <row r="340" spans="1:18">
      <c r="A340" s="255">
        <f>A339+A338</f>
        <v>1100</v>
      </c>
      <c r="B340" s="256"/>
      <c r="C340" s="235" t="s">
        <v>301</v>
      </c>
      <c r="D340" s="265" t="s">
        <v>236</v>
      </c>
      <c r="E340" s="237"/>
      <c r="F340" s="418"/>
      <c r="G340" s="42"/>
    </row>
    <row r="341" spans="1:18">
      <c r="A341" s="350">
        <v>2</v>
      </c>
      <c r="B341" s="351"/>
      <c r="C341" s="234"/>
      <c r="D341" s="253" t="s">
        <v>369</v>
      </c>
      <c r="E341" s="237"/>
      <c r="F341" s="418"/>
      <c r="G341" s="42"/>
      <c r="H341" t="s">
        <v>352</v>
      </c>
    </row>
    <row r="342" spans="1:18" ht="14" thickBot="1">
      <c r="A342" s="266">
        <f>A340*A341</f>
        <v>2200</v>
      </c>
      <c r="B342" s="267"/>
      <c r="C342" s="260" t="s">
        <v>252</v>
      </c>
      <c r="D342" s="348" t="s">
        <v>453</v>
      </c>
      <c r="E342" s="287"/>
      <c r="F342" s="419"/>
      <c r="G342" s="42"/>
    </row>
    <row r="343" spans="1:18" ht="15" thickTop="1" thickBot="1">
      <c r="A343" s="10"/>
      <c r="B343" s="10"/>
      <c r="C343" s="7"/>
      <c r="D343" s="11"/>
      <c r="F343" s="420"/>
      <c r="G343" s="42"/>
    </row>
    <row r="344" spans="1:18" s="113" customFormat="1" ht="15" thickTop="1" thickBot="1">
      <c r="A344" s="110" t="s">
        <v>366</v>
      </c>
      <c r="B344" s="110"/>
      <c r="C344" s="115"/>
      <c r="D344" s="116"/>
      <c r="E344" s="111"/>
      <c r="F344" s="415"/>
      <c r="G344" s="111"/>
      <c r="N344"/>
      <c r="O344"/>
      <c r="P344"/>
      <c r="Q344"/>
      <c r="R344"/>
    </row>
    <row r="345" spans="1:18" ht="15" thickTop="1" thickBot="1">
      <c r="A345"/>
      <c r="B345"/>
      <c r="D345"/>
      <c r="E345" s="23"/>
      <c r="F345" s="420"/>
      <c r="G345" s="42"/>
      <c r="N345" s="113"/>
      <c r="O345" s="113"/>
      <c r="P345" s="113"/>
      <c r="Q345" s="113"/>
      <c r="R345" s="113"/>
    </row>
    <row r="346" spans="1:18" ht="14" thickTop="1">
      <c r="A346" s="275" t="s">
        <v>134</v>
      </c>
      <c r="B346" s="276"/>
      <c r="C346" s="242"/>
      <c r="D346" s="243"/>
      <c r="E346" s="242"/>
      <c r="F346" s="435"/>
      <c r="G346" s="7"/>
    </row>
    <row r="347" spans="1:18">
      <c r="A347" s="255">
        <f>A273</f>
        <v>53352</v>
      </c>
      <c r="B347" s="256"/>
      <c r="C347" s="252" t="s">
        <v>252</v>
      </c>
      <c r="D347" s="265" t="s">
        <v>237</v>
      </c>
      <c r="E347" s="256">
        <f>A347/264</f>
        <v>202.09090909090909</v>
      </c>
      <c r="F347" s="422" t="s">
        <v>253</v>
      </c>
      <c r="G347" s="7"/>
    </row>
    <row r="348" spans="1:18" ht="14" thickBot="1">
      <c r="A348" s="270">
        <f>A347/365</f>
        <v>146.16986301369863</v>
      </c>
      <c r="B348" s="260"/>
      <c r="C348" s="268" t="s">
        <v>302</v>
      </c>
      <c r="D348" s="268" t="s">
        <v>237</v>
      </c>
      <c r="E348" s="353">
        <f>A348/264</f>
        <v>0.55367372353673727</v>
      </c>
      <c r="F348" s="436" t="s">
        <v>135</v>
      </c>
      <c r="G348" s="7"/>
    </row>
    <row r="349" spans="1:18" ht="15" thickTop="1" thickBot="1">
      <c r="A349" s="7"/>
      <c r="B349" s="7"/>
      <c r="C349" s="9"/>
      <c r="D349" s="9"/>
      <c r="E349" s="47"/>
      <c r="F349" s="416"/>
      <c r="G349" s="7"/>
    </row>
    <row r="350" spans="1:18" ht="14" thickTop="1">
      <c r="A350" s="275" t="s">
        <v>346</v>
      </c>
      <c r="B350" s="276"/>
      <c r="C350" s="242"/>
      <c r="D350" s="243"/>
      <c r="E350" s="242"/>
      <c r="F350" s="435"/>
      <c r="G350" s="7"/>
    </row>
    <row r="351" spans="1:18">
      <c r="A351" s="255">
        <f>A108*365</f>
        <v>53208.000000000022</v>
      </c>
      <c r="B351" s="256"/>
      <c r="C351" s="252" t="s">
        <v>252</v>
      </c>
      <c r="D351" s="265" t="s">
        <v>136</v>
      </c>
      <c r="E351" s="256">
        <f>A351/264</f>
        <v>201.54545454545462</v>
      </c>
      <c r="F351" s="422" t="s">
        <v>253</v>
      </c>
      <c r="G351" s="7"/>
    </row>
    <row r="352" spans="1:18" ht="14" thickBot="1">
      <c r="A352" s="270">
        <f>A351/365</f>
        <v>145.77534246575348</v>
      </c>
      <c r="B352" s="260"/>
      <c r="C352" s="268" t="s">
        <v>302</v>
      </c>
      <c r="D352" s="268" t="s">
        <v>136</v>
      </c>
      <c r="E352" s="353">
        <f>A352/264</f>
        <v>0.55217932752179344</v>
      </c>
      <c r="F352" s="436" t="s">
        <v>135</v>
      </c>
      <c r="G352" s="7"/>
    </row>
    <row r="353" spans="1:8" ht="15" thickTop="1" thickBot="1">
      <c r="B353" s="2"/>
      <c r="C353" s="6"/>
      <c r="D353"/>
      <c r="E353" s="6"/>
      <c r="F353" s="437"/>
      <c r="G353" s="6"/>
    </row>
    <row r="354" spans="1:8" ht="14" thickTop="1">
      <c r="A354" s="275" t="s">
        <v>363</v>
      </c>
      <c r="B354" s="276"/>
      <c r="C354" s="329"/>
      <c r="D354" s="329"/>
      <c r="E354" s="329"/>
      <c r="F354" s="417"/>
      <c r="G354" s="13"/>
      <c r="H354" t="s">
        <v>178</v>
      </c>
    </row>
    <row r="355" spans="1:8">
      <c r="A355" s="336">
        <v>48</v>
      </c>
      <c r="B355" s="337"/>
      <c r="C355" s="235" t="s">
        <v>254</v>
      </c>
      <c r="D355" s="235" t="s">
        <v>137</v>
      </c>
      <c r="E355" s="238"/>
      <c r="F355" s="418"/>
      <c r="G355" s="8"/>
    </row>
    <row r="356" spans="1:8">
      <c r="A356" s="336">
        <f>2.5*8</f>
        <v>20</v>
      </c>
      <c r="B356" s="337"/>
      <c r="C356" s="313" t="s">
        <v>254</v>
      </c>
      <c r="D356" s="235" t="s">
        <v>138</v>
      </c>
      <c r="E356" s="238"/>
      <c r="F356" s="418"/>
      <c r="G356" s="8"/>
    </row>
    <row r="357" spans="1:8">
      <c r="A357" s="246">
        <f>A356*A355</f>
        <v>960</v>
      </c>
      <c r="B357" s="238"/>
      <c r="C357" s="313" t="s">
        <v>250</v>
      </c>
      <c r="D357" s="253" t="s">
        <v>177</v>
      </c>
      <c r="E357" s="238"/>
      <c r="F357" s="418"/>
      <c r="G357" s="8"/>
    </row>
    <row r="358" spans="1:8">
      <c r="A358" s="354">
        <f>31/12</f>
        <v>2.5833333333333335</v>
      </c>
      <c r="B358" s="355"/>
      <c r="C358" s="313" t="s">
        <v>254</v>
      </c>
      <c r="D358" s="235" t="s">
        <v>140</v>
      </c>
      <c r="E358" s="238"/>
      <c r="F358" s="418"/>
      <c r="G358" s="8"/>
    </row>
    <row r="359" spans="1:8">
      <c r="A359" s="246">
        <f>A357*A358</f>
        <v>2480</v>
      </c>
      <c r="B359" s="238"/>
      <c r="C359" s="235" t="s">
        <v>397</v>
      </c>
      <c r="D359" s="235" t="s">
        <v>141</v>
      </c>
      <c r="E359" s="234">
        <f>A359/35.3</f>
        <v>70.254957507082153</v>
      </c>
      <c r="F359" s="418" t="s">
        <v>253</v>
      </c>
      <c r="G359" s="13"/>
    </row>
    <row r="360" spans="1:8">
      <c r="A360" s="356">
        <f>A359*7.481</f>
        <v>18552.88</v>
      </c>
      <c r="B360" s="331"/>
      <c r="C360" s="238" t="s">
        <v>252</v>
      </c>
      <c r="D360" s="235" t="s">
        <v>347</v>
      </c>
      <c r="E360" s="234"/>
      <c r="F360" s="418"/>
      <c r="G360" s="13"/>
    </row>
    <row r="361" spans="1:8" ht="14" thickBot="1">
      <c r="A361" s="357">
        <f>A360/A351</f>
        <v>0.34868591189294829</v>
      </c>
      <c r="B361" s="358"/>
      <c r="C361" s="306"/>
      <c r="D361" s="306" t="s">
        <v>143</v>
      </c>
      <c r="E361" s="259"/>
      <c r="F361" s="419"/>
      <c r="G361" s="13"/>
    </row>
    <row r="362" spans="1:8" ht="15" thickTop="1" thickBot="1">
      <c r="B362" s="2"/>
      <c r="C362" s="6"/>
      <c r="D362"/>
      <c r="E362" s="6"/>
      <c r="F362" s="437"/>
      <c r="G362" s="6"/>
    </row>
    <row r="363" spans="1:8" ht="14" thickTop="1">
      <c r="A363" s="275" t="s">
        <v>179</v>
      </c>
      <c r="B363" s="276"/>
      <c r="C363" s="329"/>
      <c r="D363" s="329"/>
      <c r="E363" s="329"/>
      <c r="F363" s="417"/>
      <c r="G363" s="13"/>
      <c r="H363" s="50" t="s">
        <v>178</v>
      </c>
    </row>
    <row r="364" spans="1:8">
      <c r="A364" s="336">
        <v>48</v>
      </c>
      <c r="B364" s="337"/>
      <c r="C364" s="235" t="s">
        <v>254</v>
      </c>
      <c r="D364" s="235" t="s">
        <v>137</v>
      </c>
      <c r="E364" s="238"/>
      <c r="F364" s="418"/>
      <c r="G364" s="8"/>
    </row>
    <row r="365" spans="1:8">
      <c r="A365" s="336">
        <f>2.5*8</f>
        <v>20</v>
      </c>
      <c r="B365" s="337"/>
      <c r="C365" s="313" t="s">
        <v>254</v>
      </c>
      <c r="D365" s="235" t="s">
        <v>138</v>
      </c>
      <c r="E365" s="238"/>
      <c r="F365" s="418"/>
      <c r="G365" s="8"/>
    </row>
    <row r="366" spans="1:8">
      <c r="A366" s="246">
        <f>A365*A364</f>
        <v>960</v>
      </c>
      <c r="B366" s="238"/>
      <c r="C366" s="313" t="s">
        <v>250</v>
      </c>
      <c r="D366" s="253" t="s">
        <v>177</v>
      </c>
      <c r="E366" s="238"/>
      <c r="F366" s="418"/>
      <c r="G366" s="8"/>
    </row>
    <row r="367" spans="1:8">
      <c r="A367" s="354">
        <v>1</v>
      </c>
      <c r="B367" s="355"/>
      <c r="C367" s="313" t="s">
        <v>254</v>
      </c>
      <c r="D367" s="235" t="s">
        <v>140</v>
      </c>
      <c r="E367" s="238"/>
      <c r="F367" s="418"/>
      <c r="G367" s="8"/>
    </row>
    <row r="368" spans="1:8">
      <c r="A368" s="246">
        <f>A366*A367</f>
        <v>960</v>
      </c>
      <c r="B368" s="238"/>
      <c r="C368" s="235" t="s">
        <v>397</v>
      </c>
      <c r="D368" s="235" t="s">
        <v>141</v>
      </c>
      <c r="E368" s="234">
        <f>A368/35.3</f>
        <v>27.195467422096318</v>
      </c>
      <c r="F368" s="418" t="s">
        <v>253</v>
      </c>
      <c r="G368" s="13"/>
    </row>
    <row r="369" spans="1:8">
      <c r="A369" s="356">
        <f>A368*7.481</f>
        <v>7181.76</v>
      </c>
      <c r="B369" s="331"/>
      <c r="C369" s="238" t="s">
        <v>133</v>
      </c>
      <c r="D369" s="235" t="s">
        <v>347</v>
      </c>
      <c r="E369" s="234"/>
      <c r="F369" s="418"/>
      <c r="G369" s="13"/>
    </row>
    <row r="370" spans="1:8">
      <c r="A370" s="356">
        <f>A360-A369</f>
        <v>11371.12</v>
      </c>
      <c r="B370" s="331"/>
      <c r="C370" s="238" t="s">
        <v>133</v>
      </c>
      <c r="D370" s="253" t="s">
        <v>180</v>
      </c>
      <c r="E370" s="234"/>
      <c r="F370" s="418"/>
      <c r="G370" s="13"/>
    </row>
    <row r="371" spans="1:8" ht="14" thickBot="1">
      <c r="A371" s="359">
        <f>(A360-A369)/A360</f>
        <v>0.61290322580645162</v>
      </c>
      <c r="B371" s="360"/>
      <c r="C371" s="306"/>
      <c r="D371" s="306" t="s">
        <v>180</v>
      </c>
      <c r="E371" s="259"/>
      <c r="F371" s="419"/>
      <c r="G371" s="13"/>
    </row>
    <row r="372" spans="1:8" ht="15" thickTop="1" thickBot="1">
      <c r="B372" s="2"/>
      <c r="C372" s="6"/>
      <c r="D372"/>
      <c r="E372" s="6"/>
      <c r="F372" s="437"/>
      <c r="G372" s="6"/>
    </row>
    <row r="373" spans="1:8" ht="14" thickTop="1">
      <c r="A373" s="275" t="s">
        <v>144</v>
      </c>
      <c r="B373" s="276"/>
      <c r="C373" s="242"/>
      <c r="D373" s="243"/>
      <c r="E373" s="242"/>
      <c r="F373" s="435"/>
      <c r="G373" s="7"/>
      <c r="H373" s="50" t="s">
        <v>181</v>
      </c>
    </row>
    <row r="374" spans="1:8">
      <c r="A374" s="346">
        <v>0</v>
      </c>
      <c r="B374" s="347"/>
      <c r="C374" s="263" t="s">
        <v>445</v>
      </c>
      <c r="D374" s="235" t="s">
        <v>312</v>
      </c>
      <c r="E374" s="234"/>
      <c r="F374" s="422"/>
      <c r="G374" s="9"/>
    </row>
    <row r="375" spans="1:8">
      <c r="A375" s="361">
        <f>3.141*((A374/2)^2)</f>
        <v>0</v>
      </c>
      <c r="B375" s="362"/>
      <c r="C375" s="257" t="s">
        <v>250</v>
      </c>
      <c r="D375" s="235" t="s">
        <v>139</v>
      </c>
      <c r="E375" s="234"/>
      <c r="F375" s="422"/>
      <c r="G375" s="9"/>
    </row>
    <row r="376" spans="1:8">
      <c r="A376" s="346">
        <f>2/7</f>
        <v>0.2857142857142857</v>
      </c>
      <c r="B376" s="347"/>
      <c r="C376" s="234" t="s">
        <v>315</v>
      </c>
      <c r="D376" s="235" t="s">
        <v>329</v>
      </c>
      <c r="E376" s="234"/>
      <c r="F376" s="422"/>
      <c r="G376" s="9"/>
    </row>
    <row r="377" spans="1:8">
      <c r="A377" s="346">
        <v>2</v>
      </c>
      <c r="B377" s="347"/>
      <c r="C377" s="234"/>
      <c r="D377" s="253" t="s">
        <v>313</v>
      </c>
      <c r="E377" s="234"/>
      <c r="F377" s="422"/>
      <c r="G377" s="9"/>
    </row>
    <row r="378" spans="1:8">
      <c r="A378" s="294">
        <f>(A377/24)*A376</f>
        <v>2.3809523809523808E-2</v>
      </c>
      <c r="B378" s="295"/>
      <c r="C378" s="234" t="s">
        <v>315</v>
      </c>
      <c r="D378" s="253" t="s">
        <v>314</v>
      </c>
      <c r="E378" s="234"/>
      <c r="F378" s="422"/>
      <c r="G378" s="9"/>
    </row>
    <row r="379" spans="1:8">
      <c r="A379" s="255">
        <f>A375*A378*0.62</f>
        <v>0</v>
      </c>
      <c r="B379" s="256"/>
      <c r="C379" s="234" t="s">
        <v>330</v>
      </c>
      <c r="D379" s="235" t="s">
        <v>329</v>
      </c>
      <c r="E379" s="234"/>
      <c r="F379" s="422"/>
      <c r="G379" s="9"/>
    </row>
    <row r="380" spans="1:8">
      <c r="A380" s="336">
        <v>100</v>
      </c>
      <c r="B380" s="337"/>
      <c r="C380" s="234" t="s">
        <v>316</v>
      </c>
      <c r="D380" s="253" t="s">
        <v>317</v>
      </c>
      <c r="E380" s="234"/>
      <c r="F380" s="422"/>
      <c r="G380" s="9"/>
    </row>
    <row r="381" spans="1:8" ht="14" thickBot="1">
      <c r="A381" s="258">
        <f>A380*A379</f>
        <v>0</v>
      </c>
      <c r="B381" s="259"/>
      <c r="C381" s="260" t="s">
        <v>142</v>
      </c>
      <c r="D381" s="348" t="s">
        <v>239</v>
      </c>
      <c r="E381" s="259"/>
      <c r="F381" s="436"/>
      <c r="G381" s="7"/>
    </row>
    <row r="382" spans="1:8" ht="15" thickTop="1" thickBot="1">
      <c r="B382" s="2"/>
      <c r="C382" s="6"/>
      <c r="D382"/>
      <c r="E382" s="23"/>
      <c r="F382" s="420"/>
      <c r="G382" s="42"/>
    </row>
    <row r="383" spans="1:8" ht="14" thickTop="1">
      <c r="A383" s="275" t="s">
        <v>191</v>
      </c>
      <c r="B383" s="276"/>
      <c r="C383" s="242"/>
      <c r="D383" s="243"/>
      <c r="E383" s="242" t="s">
        <v>75</v>
      </c>
      <c r="F383" s="435"/>
      <c r="G383" s="7"/>
    </row>
    <row r="384" spans="1:8">
      <c r="A384" s="363" t="s">
        <v>320</v>
      </c>
      <c r="B384" s="263"/>
      <c r="C384" s="263" t="s">
        <v>320</v>
      </c>
      <c r="D384" s="235"/>
      <c r="E384" s="234"/>
      <c r="F384" s="422"/>
      <c r="G384" s="7"/>
    </row>
    <row r="385" spans="1:7">
      <c r="A385" s="271" t="s">
        <v>192</v>
      </c>
      <c r="B385" s="234"/>
      <c r="C385" s="234" t="s">
        <v>190</v>
      </c>
      <c r="D385" s="235"/>
      <c r="E385" s="234"/>
      <c r="F385" s="422"/>
      <c r="G385" s="7"/>
    </row>
    <row r="386" spans="1:7">
      <c r="A386" s="364" t="s">
        <v>73</v>
      </c>
      <c r="B386" s="365"/>
      <c r="C386" s="365"/>
      <c r="D386" s="365"/>
      <c r="E386" s="237"/>
      <c r="F386" s="418"/>
      <c r="G386" s="42"/>
    </row>
    <row r="387" spans="1:7">
      <c r="A387" s="336">
        <v>30</v>
      </c>
      <c r="B387" s="337"/>
      <c r="C387" s="337">
        <v>175</v>
      </c>
      <c r="D387" s="235" t="s">
        <v>321</v>
      </c>
      <c r="E387" s="234"/>
      <c r="F387" s="422"/>
      <c r="G387" s="9"/>
    </row>
    <row r="388" spans="1:7">
      <c r="A388" s="336">
        <v>10</v>
      </c>
      <c r="B388" s="337"/>
      <c r="C388" s="337">
        <v>100</v>
      </c>
      <c r="D388" s="235" t="s">
        <v>322</v>
      </c>
      <c r="E388" s="234"/>
      <c r="F388" s="422"/>
      <c r="G388" s="9"/>
    </row>
    <row r="389" spans="1:7">
      <c r="A389" s="336">
        <v>25</v>
      </c>
      <c r="B389" s="337"/>
      <c r="C389" s="337">
        <v>125</v>
      </c>
      <c r="D389" s="235" t="s">
        <v>49</v>
      </c>
      <c r="E389" s="234" t="s">
        <v>63</v>
      </c>
      <c r="F389" s="422"/>
      <c r="G389" s="9"/>
    </row>
    <row r="390" spans="1:7">
      <c r="A390" s="336">
        <v>35</v>
      </c>
      <c r="B390" s="337"/>
      <c r="C390" s="337">
        <v>200</v>
      </c>
      <c r="D390" s="253" t="s">
        <v>50</v>
      </c>
      <c r="E390" s="234" t="s">
        <v>63</v>
      </c>
      <c r="F390" s="422"/>
      <c r="G390" s="9"/>
    </row>
    <row r="391" spans="1:7">
      <c r="A391" s="336">
        <v>15</v>
      </c>
      <c r="B391" s="337"/>
      <c r="C391" s="337">
        <v>100</v>
      </c>
      <c r="D391" s="253" t="s">
        <v>51</v>
      </c>
      <c r="E391" s="234"/>
      <c r="F391" s="422"/>
      <c r="G391" s="9"/>
    </row>
    <row r="392" spans="1:7">
      <c r="A392" s="336">
        <v>15</v>
      </c>
      <c r="B392" s="337"/>
      <c r="C392" s="337">
        <v>15</v>
      </c>
      <c r="D392" s="253" t="s">
        <v>52</v>
      </c>
      <c r="E392" s="234"/>
      <c r="F392" s="422"/>
      <c r="G392" s="9"/>
    </row>
    <row r="393" spans="1:7">
      <c r="A393" s="336">
        <v>20</v>
      </c>
      <c r="B393" s="337"/>
      <c r="C393" s="337">
        <v>200</v>
      </c>
      <c r="D393" s="253" t="s">
        <v>57</v>
      </c>
      <c r="E393" s="234" t="s">
        <v>64</v>
      </c>
      <c r="F393" s="422"/>
      <c r="G393" s="9"/>
    </row>
    <row r="394" spans="1:7">
      <c r="A394" s="336">
        <v>20</v>
      </c>
      <c r="B394" s="337"/>
      <c r="C394" s="337">
        <v>200</v>
      </c>
      <c r="D394" s="253" t="s">
        <v>58</v>
      </c>
      <c r="E394" s="234"/>
      <c r="F394" s="422"/>
      <c r="G394" s="9"/>
    </row>
    <row r="395" spans="1:7">
      <c r="A395" s="336">
        <v>20</v>
      </c>
      <c r="B395" s="337"/>
      <c r="C395" s="337">
        <v>200</v>
      </c>
      <c r="D395" s="253" t="s">
        <v>59</v>
      </c>
      <c r="E395" s="234"/>
      <c r="F395" s="422"/>
      <c r="G395" s="9"/>
    </row>
    <row r="396" spans="1:7">
      <c r="A396" s="336">
        <v>20</v>
      </c>
      <c r="B396" s="337"/>
      <c r="C396" s="337">
        <v>60</v>
      </c>
      <c r="D396" s="235" t="s">
        <v>62</v>
      </c>
      <c r="E396" s="234" t="s">
        <v>61</v>
      </c>
      <c r="F396" s="422"/>
      <c r="G396" s="9"/>
    </row>
    <row r="397" spans="1:7">
      <c r="A397" s="336">
        <v>20</v>
      </c>
      <c r="B397" s="337"/>
      <c r="C397" s="337">
        <v>60</v>
      </c>
      <c r="D397" s="235" t="s">
        <v>62</v>
      </c>
      <c r="E397" s="234" t="s">
        <v>61</v>
      </c>
      <c r="F397" s="422"/>
      <c r="G397" s="9"/>
    </row>
    <row r="398" spans="1:7">
      <c r="A398" s="336">
        <v>50</v>
      </c>
      <c r="B398" s="337"/>
      <c r="C398" s="337">
        <v>100</v>
      </c>
      <c r="D398" s="253" t="s">
        <v>60</v>
      </c>
      <c r="E398" s="234"/>
      <c r="F398" s="422"/>
      <c r="G398" s="9"/>
    </row>
    <row r="399" spans="1:7">
      <c r="A399" s="336">
        <v>50</v>
      </c>
      <c r="B399" s="337"/>
      <c r="C399" s="337">
        <v>100</v>
      </c>
      <c r="D399" s="235" t="s">
        <v>193</v>
      </c>
      <c r="E399" s="234"/>
      <c r="F399" s="422"/>
      <c r="G399" s="9"/>
    </row>
    <row r="400" spans="1:7">
      <c r="A400" s="336">
        <v>50</v>
      </c>
      <c r="B400" s="337"/>
      <c r="C400" s="337">
        <v>100</v>
      </c>
      <c r="D400" s="235" t="s">
        <v>193</v>
      </c>
      <c r="E400" s="234"/>
      <c r="F400" s="422"/>
      <c r="G400" s="9"/>
    </row>
    <row r="401" spans="1:7">
      <c r="A401" s="336">
        <v>15</v>
      </c>
      <c r="B401" s="337"/>
      <c r="C401" s="337">
        <v>50</v>
      </c>
      <c r="D401" s="253" t="s">
        <v>194</v>
      </c>
      <c r="E401" s="234"/>
      <c r="F401" s="422"/>
      <c r="G401" s="9"/>
    </row>
    <row r="402" spans="1:7">
      <c r="A402" s="336">
        <v>30</v>
      </c>
      <c r="B402" s="337"/>
      <c r="C402" s="337">
        <v>30</v>
      </c>
      <c r="D402" s="235" t="s">
        <v>195</v>
      </c>
      <c r="E402" s="234"/>
      <c r="F402" s="422"/>
      <c r="G402" s="9"/>
    </row>
    <row r="403" spans="1:7">
      <c r="A403" s="336">
        <v>40</v>
      </c>
      <c r="B403" s="337"/>
      <c r="C403" s="337">
        <v>100</v>
      </c>
      <c r="D403" s="253" t="s">
        <v>48</v>
      </c>
      <c r="E403" s="234"/>
      <c r="F403" s="422"/>
      <c r="G403" s="9"/>
    </row>
    <row r="404" spans="1:7">
      <c r="A404" s="302">
        <f>SUM(A387:A403)</f>
        <v>465</v>
      </c>
      <c r="B404" s="303"/>
      <c r="C404" s="303">
        <f>SUM(C387:C403)</f>
        <v>1915</v>
      </c>
      <c r="D404" s="366" t="s">
        <v>54</v>
      </c>
      <c r="E404" s="234"/>
      <c r="F404" s="422"/>
      <c r="G404" s="9"/>
    </row>
    <row r="405" spans="1:7">
      <c r="A405" s="367">
        <f>A404/365</f>
        <v>1.273972602739726</v>
      </c>
      <c r="B405" s="368"/>
      <c r="C405" s="368">
        <f>C404/365</f>
        <v>5.2465753424657535</v>
      </c>
      <c r="D405" s="366" t="s">
        <v>55</v>
      </c>
      <c r="E405" s="234"/>
      <c r="F405" s="422"/>
      <c r="G405" s="9"/>
    </row>
    <row r="406" spans="1:7">
      <c r="A406" s="302">
        <f>COUNT(A387:A403)</f>
        <v>17</v>
      </c>
      <c r="B406" s="303"/>
      <c r="C406" s="303">
        <f>COUNT(C387:C403)</f>
        <v>17</v>
      </c>
      <c r="D406" s="366" t="s">
        <v>56</v>
      </c>
      <c r="E406" s="234"/>
      <c r="F406" s="422"/>
      <c r="G406" s="9"/>
    </row>
    <row r="407" spans="1:7">
      <c r="A407" s="336">
        <v>1</v>
      </c>
      <c r="B407" s="337"/>
      <c r="C407" s="337">
        <v>3</v>
      </c>
      <c r="D407" s="253" t="s">
        <v>196</v>
      </c>
      <c r="E407" s="234"/>
      <c r="F407" s="422"/>
      <c r="G407" s="9"/>
    </row>
    <row r="408" spans="1:7">
      <c r="A408" s="336">
        <v>1</v>
      </c>
      <c r="B408" s="337"/>
      <c r="C408" s="337">
        <v>3</v>
      </c>
      <c r="D408" s="253" t="s">
        <v>197</v>
      </c>
      <c r="E408" s="234"/>
      <c r="F408" s="422"/>
      <c r="G408" s="9"/>
    </row>
    <row r="409" spans="1:7">
      <c r="A409" s="336">
        <v>1</v>
      </c>
      <c r="B409" s="337"/>
      <c r="C409" s="337">
        <v>3</v>
      </c>
      <c r="D409" s="253" t="s">
        <v>70</v>
      </c>
      <c r="E409" s="256"/>
      <c r="F409" s="422"/>
      <c r="G409" s="7"/>
    </row>
    <row r="410" spans="1:7">
      <c r="A410" s="302">
        <f>SUM(A407:A409)</f>
        <v>3</v>
      </c>
      <c r="B410" s="303"/>
      <c r="C410" s="303">
        <f>SUM(C407:C409)</f>
        <v>9</v>
      </c>
      <c r="D410" s="366" t="s">
        <v>69</v>
      </c>
      <c r="E410" s="256"/>
      <c r="F410" s="422"/>
      <c r="G410" s="7"/>
    </row>
    <row r="411" spans="1:7">
      <c r="A411" s="336">
        <v>100</v>
      </c>
      <c r="B411" s="337"/>
      <c r="C411" s="337">
        <v>100</v>
      </c>
      <c r="D411" s="253" t="s">
        <v>53</v>
      </c>
      <c r="E411" s="237"/>
      <c r="F411" s="418"/>
      <c r="G411" s="42"/>
    </row>
    <row r="412" spans="1:7">
      <c r="A412" s="336">
        <v>20</v>
      </c>
      <c r="B412" s="337"/>
      <c r="C412" s="337">
        <v>20</v>
      </c>
      <c r="D412" s="253" t="s">
        <v>71</v>
      </c>
      <c r="E412" s="237"/>
      <c r="F412" s="418"/>
      <c r="G412" s="42"/>
    </row>
    <row r="413" spans="1:7">
      <c r="A413" s="336">
        <v>200</v>
      </c>
      <c r="B413" s="337"/>
      <c r="C413" s="337">
        <v>200</v>
      </c>
      <c r="D413" s="253" t="s">
        <v>70</v>
      </c>
      <c r="E413" s="237"/>
      <c r="F413" s="418"/>
      <c r="G413" s="42"/>
    </row>
    <row r="414" spans="1:7">
      <c r="A414" s="302">
        <f>SUM(A411:A413)</f>
        <v>320</v>
      </c>
      <c r="B414" s="303"/>
      <c r="C414" s="303">
        <f>SUM(C411:C413)</f>
        <v>320</v>
      </c>
      <c r="D414" s="366" t="s">
        <v>72</v>
      </c>
      <c r="E414" s="237"/>
      <c r="F414" s="418"/>
      <c r="G414" s="42"/>
    </row>
    <row r="415" spans="1:7" ht="14" thickBot="1">
      <c r="A415" s="369">
        <f>A414/365</f>
        <v>0.87671232876712324</v>
      </c>
      <c r="B415" s="370"/>
      <c r="C415" s="370">
        <f>C414/365</f>
        <v>0.87671232876712324</v>
      </c>
      <c r="D415" s="371" t="s">
        <v>74</v>
      </c>
      <c r="E415" s="287"/>
      <c r="F415" s="419"/>
      <c r="G415" s="42"/>
    </row>
    <row r="416" spans="1:7" ht="15" thickTop="1" thickBot="1">
      <c r="B416" s="2"/>
      <c r="C416" s="6"/>
      <c r="D416"/>
      <c r="E416" s="23"/>
      <c r="F416" s="420"/>
      <c r="G416" s="42"/>
    </row>
    <row r="417" spans="1:7" ht="14" thickTop="1">
      <c r="A417" s="372" t="s">
        <v>65</v>
      </c>
      <c r="B417" s="373"/>
      <c r="C417" s="242"/>
      <c r="D417" s="243"/>
      <c r="E417" s="244"/>
      <c r="F417" s="417"/>
      <c r="G417" s="42"/>
    </row>
    <row r="418" spans="1:7">
      <c r="A418" s="246" t="s">
        <v>84</v>
      </c>
      <c r="B418" s="238"/>
      <c r="C418" s="234" t="s">
        <v>147</v>
      </c>
      <c r="D418" s="235"/>
      <c r="E418" s="237"/>
      <c r="F418" s="418"/>
      <c r="G418" s="42"/>
    </row>
    <row r="419" spans="1:7">
      <c r="A419" s="246"/>
      <c r="B419" s="238"/>
      <c r="C419" s="234"/>
      <c r="D419" s="235" t="s">
        <v>85</v>
      </c>
      <c r="E419" s="237"/>
      <c r="F419" s="418"/>
      <c r="G419" s="42"/>
    </row>
    <row r="420" spans="1:7">
      <c r="A420" s="246" t="s">
        <v>240</v>
      </c>
      <c r="B420" s="238"/>
      <c r="C420" s="234"/>
      <c r="D420" s="235" t="s">
        <v>66</v>
      </c>
      <c r="E420" s="237"/>
      <c r="F420" s="418"/>
      <c r="G420" s="42"/>
    </row>
    <row r="421" spans="1:7">
      <c r="A421" s="246"/>
      <c r="B421" s="238"/>
      <c r="C421" s="234"/>
      <c r="D421" s="235" t="s">
        <v>67</v>
      </c>
      <c r="E421" s="237"/>
      <c r="F421" s="418"/>
      <c r="G421" s="42"/>
    </row>
    <row r="422" spans="1:7">
      <c r="A422" s="246"/>
      <c r="B422" s="238"/>
      <c r="C422" s="234"/>
      <c r="D422" s="235" t="s">
        <v>68</v>
      </c>
      <c r="E422" s="237"/>
      <c r="F422" s="418"/>
      <c r="G422" s="42"/>
    </row>
    <row r="423" spans="1:7">
      <c r="A423" s="246"/>
      <c r="B423" s="238"/>
      <c r="C423" s="234"/>
      <c r="D423" s="235" t="s">
        <v>107</v>
      </c>
      <c r="E423" s="237"/>
      <c r="F423" s="418"/>
      <c r="G423" s="42"/>
    </row>
    <row r="424" spans="1:7">
      <c r="A424" s="246"/>
      <c r="B424" s="238"/>
      <c r="C424" s="234"/>
      <c r="D424" s="235" t="s">
        <v>383</v>
      </c>
      <c r="E424" s="237"/>
      <c r="F424" s="418"/>
      <c r="G424" s="42"/>
    </row>
    <row r="425" spans="1:7">
      <c r="A425" s="246"/>
      <c r="B425" s="238"/>
      <c r="C425" s="234"/>
      <c r="D425" s="235" t="s">
        <v>384</v>
      </c>
      <c r="E425" s="237"/>
      <c r="F425" s="418"/>
      <c r="G425" s="42"/>
    </row>
    <row r="426" spans="1:7">
      <c r="A426" s="246"/>
      <c r="B426" s="238"/>
      <c r="C426" s="234"/>
      <c r="D426" s="235" t="s">
        <v>385</v>
      </c>
      <c r="E426" s="237"/>
      <c r="F426" s="418"/>
      <c r="G426" s="42"/>
    </row>
    <row r="427" spans="1:7">
      <c r="A427" s="246"/>
      <c r="B427" s="238"/>
      <c r="C427" s="234"/>
      <c r="D427" s="235" t="s">
        <v>386</v>
      </c>
      <c r="E427" s="237"/>
      <c r="F427" s="418"/>
      <c r="G427" s="42"/>
    </row>
    <row r="428" spans="1:7">
      <c r="A428" s="246"/>
      <c r="B428" s="238"/>
      <c r="C428" s="234"/>
      <c r="D428" s="235" t="s">
        <v>387</v>
      </c>
      <c r="E428" s="237"/>
      <c r="F428" s="418"/>
      <c r="G428" s="42"/>
    </row>
    <row r="429" spans="1:7" ht="14" thickBot="1">
      <c r="A429" s="247"/>
      <c r="B429" s="249"/>
      <c r="C429" s="260"/>
      <c r="D429" s="261" t="s">
        <v>106</v>
      </c>
      <c r="E429" s="287"/>
      <c r="F429" s="419"/>
      <c r="G429" s="42"/>
    </row>
    <row r="430" spans="1:7" ht="15" thickTop="1" thickBot="1">
      <c r="B430" s="2"/>
      <c r="C430" s="6"/>
      <c r="D430"/>
      <c r="E430" s="23"/>
      <c r="F430" s="420"/>
      <c r="G430" s="42"/>
    </row>
    <row r="431" spans="1:7" ht="14" thickTop="1">
      <c r="A431" s="372" t="s">
        <v>76</v>
      </c>
      <c r="B431" s="373"/>
      <c r="C431" s="242"/>
      <c r="D431" s="243"/>
      <c r="E431" s="244"/>
      <c r="F431" s="417"/>
      <c r="G431" s="42"/>
    </row>
    <row r="432" spans="1:7">
      <c r="A432" s="246">
        <f>A174</f>
        <v>7500</v>
      </c>
      <c r="B432" s="238"/>
      <c r="C432" s="234" t="s">
        <v>250</v>
      </c>
      <c r="D432" s="235" t="s">
        <v>77</v>
      </c>
      <c r="E432" s="237"/>
      <c r="F432" s="418"/>
      <c r="G432" s="42"/>
    </row>
    <row r="433" spans="1:8">
      <c r="A433" s="246">
        <f>A244</f>
        <v>874.16407864998746</v>
      </c>
      <c r="B433" s="238"/>
      <c r="C433" s="234" t="s">
        <v>250</v>
      </c>
      <c r="D433" s="253" t="s">
        <v>183</v>
      </c>
      <c r="E433" s="237"/>
      <c r="F433" s="418"/>
      <c r="G433" s="42"/>
    </row>
    <row r="434" spans="1:8">
      <c r="A434" s="246">
        <v>500</v>
      </c>
      <c r="B434" s="238"/>
      <c r="C434" s="234" t="s">
        <v>250</v>
      </c>
      <c r="D434" s="253" t="s">
        <v>184</v>
      </c>
      <c r="E434" s="237"/>
      <c r="F434" s="418"/>
      <c r="G434" s="42"/>
    </row>
    <row r="435" spans="1:8">
      <c r="A435" s="246">
        <f>A432-(A433+A434)</f>
        <v>6125.8359213500125</v>
      </c>
      <c r="B435" s="238"/>
      <c r="C435" s="234" t="s">
        <v>250</v>
      </c>
      <c r="D435" s="253" t="s">
        <v>185</v>
      </c>
      <c r="E435" s="237"/>
      <c r="F435" s="418"/>
      <c r="G435" s="42"/>
    </row>
    <row r="436" spans="1:8">
      <c r="A436" s="250">
        <v>0.5</v>
      </c>
      <c r="B436" s="251"/>
      <c r="C436" s="234"/>
      <c r="D436" s="235" t="s">
        <v>182</v>
      </c>
      <c r="E436" s="237"/>
      <c r="F436" s="418"/>
      <c r="G436" s="42"/>
    </row>
    <row r="437" spans="1:8">
      <c r="A437" s="336">
        <f>A432*0.1</f>
        <v>750</v>
      </c>
      <c r="B437" s="337"/>
      <c r="C437" s="234" t="s">
        <v>250</v>
      </c>
      <c r="D437" s="235" t="s">
        <v>78</v>
      </c>
      <c r="E437" s="237"/>
      <c r="F437" s="418"/>
      <c r="G437" s="42"/>
      <c r="H437" t="s">
        <v>123</v>
      </c>
    </row>
    <row r="438" spans="1:8">
      <c r="A438" s="246">
        <f>A436*A435</f>
        <v>3062.9179606750063</v>
      </c>
      <c r="B438" s="238"/>
      <c r="C438" s="234" t="s">
        <v>250</v>
      </c>
      <c r="D438" s="235" t="s">
        <v>79</v>
      </c>
      <c r="E438" s="237"/>
      <c r="F438" s="418"/>
      <c r="G438" s="42"/>
    </row>
    <row r="439" spans="1:8">
      <c r="A439" s="336">
        <v>1</v>
      </c>
      <c r="B439" s="337"/>
      <c r="C439" s="234" t="s">
        <v>251</v>
      </c>
      <c r="D439" s="235" t="s">
        <v>81</v>
      </c>
      <c r="E439" s="237"/>
      <c r="F439" s="418"/>
      <c r="G439" s="42"/>
    </row>
    <row r="440" spans="1:8">
      <c r="A440" s="302">
        <f>(A439/12)*A438</f>
        <v>255.24316338958386</v>
      </c>
      <c r="B440" s="303"/>
      <c r="C440" s="234" t="s">
        <v>256</v>
      </c>
      <c r="D440" s="366" t="s">
        <v>82</v>
      </c>
      <c r="E440" s="237"/>
      <c r="F440" s="418"/>
      <c r="G440" s="42"/>
    </row>
    <row r="441" spans="1:8" ht="14" thickBot="1">
      <c r="A441" s="374">
        <f>A440/27</f>
        <v>9.4534504959105128</v>
      </c>
      <c r="B441" s="375"/>
      <c r="C441" s="260" t="s">
        <v>83</v>
      </c>
      <c r="D441" s="371" t="s">
        <v>82</v>
      </c>
      <c r="E441" s="287"/>
      <c r="F441" s="419"/>
      <c r="G441" s="42"/>
    </row>
    <row r="442" spans="1:8" ht="15" thickTop="1" thickBot="1">
      <c r="B442" s="2"/>
      <c r="C442" s="6"/>
      <c r="D442"/>
      <c r="E442" s="23"/>
      <c r="F442" s="420"/>
      <c r="G442" s="42"/>
    </row>
    <row r="443" spans="1:8" ht="14" thickTop="1">
      <c r="A443" s="372" t="s">
        <v>86</v>
      </c>
      <c r="B443" s="373"/>
      <c r="C443" s="242"/>
      <c r="D443" s="243"/>
      <c r="E443" s="244"/>
      <c r="F443" s="417"/>
      <c r="G443" s="42"/>
    </row>
    <row r="444" spans="1:8">
      <c r="A444" s="246">
        <f>A438</f>
        <v>3062.9179606750063</v>
      </c>
      <c r="B444" s="238"/>
      <c r="C444" s="234" t="s">
        <v>250</v>
      </c>
      <c r="D444" s="235" t="s">
        <v>79</v>
      </c>
      <c r="E444" s="237"/>
      <c r="F444" s="418"/>
      <c r="G444" s="42"/>
    </row>
    <row r="445" spans="1:8">
      <c r="A445" s="376">
        <v>3.5</v>
      </c>
      <c r="B445" s="377"/>
      <c r="C445" s="234" t="s">
        <v>251</v>
      </c>
      <c r="D445" s="235" t="s">
        <v>80</v>
      </c>
      <c r="E445" s="237"/>
      <c r="F445" s="418"/>
      <c r="G445" s="42"/>
    </row>
    <row r="446" spans="1:8">
      <c r="A446" s="302">
        <f>(A445/12)*A444</f>
        <v>893.35107186354355</v>
      </c>
      <c r="B446" s="303"/>
      <c r="C446" s="234" t="s">
        <v>256</v>
      </c>
      <c r="D446" s="366" t="s">
        <v>87</v>
      </c>
      <c r="E446" s="237"/>
      <c r="F446" s="418"/>
      <c r="G446" s="42"/>
    </row>
    <row r="447" spans="1:8">
      <c r="A447" s="302">
        <f>A446/27</f>
        <v>33.0870767356868</v>
      </c>
      <c r="B447" s="303"/>
      <c r="C447" s="234" t="s">
        <v>83</v>
      </c>
      <c r="D447" s="366" t="s">
        <v>87</v>
      </c>
      <c r="E447" s="237"/>
      <c r="F447" s="418"/>
      <c r="G447" s="42"/>
    </row>
    <row r="448" spans="1:8">
      <c r="A448" s="336">
        <v>640</v>
      </c>
      <c r="B448" s="337"/>
      <c r="C448" s="234" t="s">
        <v>88</v>
      </c>
      <c r="D448" s="235" t="s">
        <v>89</v>
      </c>
      <c r="E448" s="237" t="s">
        <v>380</v>
      </c>
      <c r="F448" s="418"/>
      <c r="G448" s="42"/>
    </row>
    <row r="449" spans="1:7" ht="14" thickBot="1">
      <c r="A449" s="247">
        <f>A447*A448</f>
        <v>21175.729110839551</v>
      </c>
      <c r="B449" s="249"/>
      <c r="C449" s="260" t="s">
        <v>381</v>
      </c>
      <c r="D449" s="261" t="s">
        <v>382</v>
      </c>
      <c r="E449" s="287"/>
      <c r="F449" s="419"/>
      <c r="G449" s="42"/>
    </row>
    <row r="450" spans="1:7" ht="14" thickTop="1"/>
  </sheetData>
  <phoneticPr fontId="30" type="noConversion"/>
  <hyperlinks>
    <hyperlink ref="J46" r:id="rId1"/>
    <hyperlink ref="J32" r:id="rId2"/>
    <hyperlink ref="J38" r:id="rId3"/>
    <hyperlink ref="J33" location="'h2o bill-SAMPLE'!A1" display="See h2o bill-SAMPLE, …input your values in the &quot;h2o bill YOURS&quot; tab"/>
    <hyperlink ref="J42" r:id="rId4" display="Measure on the ground or in Google Earth"/>
    <hyperlink ref="J43" r:id="rId5"/>
    <hyperlink ref="J37" r:id="rId6"/>
  </hyperlinks>
  <pageMargins left="0.75" right="0.75" top="1" bottom="1" header="0.5" footer="0.5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4"/>
  <sheetViews>
    <sheetView workbookViewId="0"/>
  </sheetViews>
  <sheetFormatPr baseColWidth="10" defaultRowHeight="13" x14ac:dyDescent="0"/>
  <cols>
    <col min="1" max="1" width="25.28515625" customWidth="1"/>
    <col min="2" max="2" width="8.28515625" customWidth="1"/>
    <col min="3" max="3" width="8.85546875" style="57" customWidth="1"/>
  </cols>
  <sheetData>
    <row r="1" spans="1:8" ht="18">
      <c r="A1" s="56" t="s">
        <v>451</v>
      </c>
    </row>
    <row r="2" spans="1:8">
      <c r="A2" t="s">
        <v>452</v>
      </c>
    </row>
    <row r="3" spans="1:8" ht="14" thickBot="1"/>
    <row r="4" spans="1:8" ht="14" thickTop="1">
      <c r="A4" s="73"/>
      <c r="B4" s="84" t="s">
        <v>457</v>
      </c>
      <c r="C4" s="85" t="s">
        <v>457</v>
      </c>
      <c r="D4" s="15"/>
      <c r="E4" s="15"/>
      <c r="F4" s="15"/>
      <c r="G4" s="15"/>
      <c r="H4" s="62"/>
    </row>
    <row r="5" spans="1:8">
      <c r="A5" s="83" t="s">
        <v>309</v>
      </c>
      <c r="B5" s="75" t="s">
        <v>146</v>
      </c>
      <c r="C5" s="76" t="s">
        <v>147</v>
      </c>
      <c r="D5" s="8"/>
      <c r="E5" s="8"/>
      <c r="F5" s="8"/>
      <c r="G5" s="8"/>
      <c r="H5" s="48"/>
    </row>
    <row r="6" spans="1:8">
      <c r="A6" s="86" t="str">
        <f>'h2o calculator'!D186</f>
        <v>Use by plants (good)</v>
      </c>
      <c r="B6" s="87">
        <f>'h2o calculator'!A186</f>
        <v>12555</v>
      </c>
      <c r="C6" s="98">
        <v>0</v>
      </c>
      <c r="D6" s="8"/>
      <c r="E6" s="8"/>
      <c r="F6" s="8"/>
      <c r="G6" s="8"/>
      <c r="H6" s="48"/>
    </row>
    <row r="7" spans="1:8">
      <c r="A7" s="89" t="str">
        <f>'h2o calculator'!D261</f>
        <v>Rainwater used indoors</v>
      </c>
      <c r="B7" s="90">
        <f>'h2o calculator'!A261</f>
        <v>3862.1155068493154</v>
      </c>
      <c r="C7" s="99">
        <v>0</v>
      </c>
      <c r="D7" s="8"/>
      <c r="E7" s="8"/>
      <c r="F7" s="8"/>
      <c r="G7" s="8"/>
      <c r="H7" s="48"/>
    </row>
    <row r="8" spans="1:8">
      <c r="A8" s="89" t="str">
        <f>'h2o calculator'!D262</f>
        <v>Rainwater used outdoors</v>
      </c>
      <c r="B8" s="90">
        <f>'h2o calculator'!A262</f>
        <v>0</v>
      </c>
      <c r="C8" s="99">
        <v>0</v>
      </c>
      <c r="D8" s="8"/>
      <c r="E8" s="8"/>
      <c r="F8" s="8"/>
      <c r="G8" s="8"/>
      <c r="H8" s="48"/>
    </row>
    <row r="9" spans="1:8">
      <c r="A9" s="89" t="str">
        <f>'h2o calculator'!D102</f>
        <v>Metered water usage</v>
      </c>
      <c r="B9" s="90">
        <f>'h2o calculator'!A102</f>
        <v>106560.00000000001</v>
      </c>
      <c r="C9" s="91">
        <f>6*105*365</f>
        <v>229950</v>
      </c>
      <c r="D9" s="8"/>
      <c r="E9" s="8"/>
      <c r="F9" s="8"/>
      <c r="G9" s="8"/>
      <c r="H9" s="48"/>
    </row>
    <row r="10" spans="1:8">
      <c r="A10" s="89" t="str">
        <f>'h2o calculator'!D285</f>
        <v>Additional efficiency savings</v>
      </c>
      <c r="B10" s="90">
        <f>'h2o calculator'!A285</f>
        <v>8643.0240000000049</v>
      </c>
      <c r="C10" s="99">
        <v>0</v>
      </c>
      <c r="D10" s="8"/>
      <c r="E10" s="8"/>
      <c r="F10" s="8"/>
      <c r="G10" s="8"/>
      <c r="H10" s="48"/>
    </row>
    <row r="11" spans="1:8">
      <c r="A11" s="89">
        <f>'h2o calculator'!D294</f>
        <v>0</v>
      </c>
      <c r="B11" s="90">
        <f>'h2o calculator'!A294</f>
        <v>0</v>
      </c>
      <c r="C11" s="99">
        <v>0</v>
      </c>
      <c r="D11" s="8"/>
      <c r="E11" s="8"/>
      <c r="F11" s="8"/>
      <c r="G11" s="8"/>
      <c r="H11" s="48"/>
    </row>
    <row r="12" spans="1:8">
      <c r="A12" s="95" t="str">
        <f>'h2o calculator'!D320</f>
        <v>Reusable clearwater</v>
      </c>
      <c r="B12" s="96">
        <f>'h2o calculator'!A320</f>
        <v>2920</v>
      </c>
      <c r="C12" s="100">
        <v>0</v>
      </c>
      <c r="D12" s="8"/>
      <c r="E12" s="8"/>
      <c r="F12" s="8"/>
      <c r="G12" s="8"/>
      <c r="H12" s="48"/>
    </row>
    <row r="13" spans="1:8">
      <c r="A13" s="83" t="s">
        <v>310</v>
      </c>
      <c r="B13" s="10">
        <f>SUM(B6:B12)</f>
        <v>134540.13950684934</v>
      </c>
      <c r="C13" s="78">
        <f>SUM(C6:C12)</f>
        <v>229950</v>
      </c>
      <c r="D13" s="8"/>
      <c r="E13" s="8"/>
      <c r="F13" s="8"/>
      <c r="G13" s="8"/>
      <c r="H13" s="48"/>
    </row>
    <row r="14" spans="1:8">
      <c r="A14" s="77"/>
      <c r="B14" s="10"/>
      <c r="C14" s="79"/>
      <c r="D14" s="8"/>
      <c r="E14" s="8"/>
      <c r="F14" s="8"/>
      <c r="G14" s="8"/>
      <c r="H14" s="48"/>
    </row>
    <row r="15" spans="1:8">
      <c r="A15" s="63"/>
      <c r="B15" s="8"/>
      <c r="C15" s="79"/>
      <c r="D15" s="8"/>
      <c r="E15" s="8"/>
      <c r="F15" s="8"/>
      <c r="G15" s="8"/>
      <c r="H15" s="48"/>
    </row>
    <row r="16" spans="1:8">
      <c r="A16" s="63"/>
      <c r="B16" s="8"/>
      <c r="C16" s="79"/>
      <c r="D16" s="8"/>
      <c r="E16" s="8"/>
      <c r="F16" s="8"/>
      <c r="G16" s="8"/>
      <c r="H16" s="48"/>
    </row>
    <row r="17" spans="1:8">
      <c r="A17" s="63"/>
      <c r="B17" s="8"/>
      <c r="C17" s="79"/>
      <c r="D17" s="8"/>
      <c r="E17" s="8"/>
      <c r="F17" s="8"/>
      <c r="G17" s="8"/>
      <c r="H17" s="48"/>
    </row>
    <row r="18" spans="1:8">
      <c r="A18" s="63"/>
      <c r="B18" s="8"/>
      <c r="C18" s="79"/>
      <c r="D18" s="8"/>
      <c r="E18" s="8"/>
      <c r="F18" s="8"/>
      <c r="G18" s="8"/>
      <c r="H18" s="48"/>
    </row>
    <row r="19" spans="1:8">
      <c r="A19" s="63"/>
      <c r="B19" s="8"/>
      <c r="C19" s="79"/>
      <c r="D19" s="8"/>
      <c r="E19" s="8"/>
      <c r="F19" s="8"/>
      <c r="G19" s="8"/>
      <c r="H19" s="48"/>
    </row>
    <row r="20" spans="1:8">
      <c r="A20" s="63"/>
      <c r="B20" s="8"/>
      <c r="C20" s="79"/>
      <c r="D20" s="8"/>
      <c r="E20" s="8"/>
      <c r="F20" s="8"/>
      <c r="G20" s="8"/>
      <c r="H20" s="48"/>
    </row>
    <row r="21" spans="1:8">
      <c r="A21" s="63"/>
      <c r="B21" s="8"/>
      <c r="C21" s="79"/>
      <c r="D21" s="8"/>
      <c r="E21" s="8"/>
      <c r="F21" s="8"/>
      <c r="G21" s="8"/>
      <c r="H21" s="48"/>
    </row>
    <row r="22" spans="1:8">
      <c r="A22" s="63"/>
      <c r="B22" s="8"/>
      <c r="C22" s="79"/>
      <c r="D22" s="8"/>
      <c r="E22" s="8"/>
      <c r="F22" s="8"/>
      <c r="G22" s="8"/>
      <c r="H22" s="48"/>
    </row>
    <row r="23" spans="1:8">
      <c r="A23" s="63"/>
      <c r="B23" s="8"/>
      <c r="C23" s="79"/>
      <c r="D23" s="8"/>
      <c r="E23" s="8"/>
      <c r="F23" s="8"/>
      <c r="G23" s="8"/>
      <c r="H23" s="48"/>
    </row>
    <row r="24" spans="1:8">
      <c r="A24" s="63"/>
      <c r="B24" s="8"/>
      <c r="C24" s="79"/>
      <c r="D24" s="8"/>
      <c r="E24" s="8"/>
      <c r="F24" s="8"/>
      <c r="G24" s="8"/>
      <c r="H24" s="48"/>
    </row>
    <row r="25" spans="1:8">
      <c r="A25" s="63"/>
      <c r="B25" s="8"/>
      <c r="C25" s="79"/>
      <c r="D25" s="8"/>
      <c r="E25" s="8"/>
      <c r="F25" s="8"/>
      <c r="G25" s="8"/>
      <c r="H25" s="48"/>
    </row>
    <row r="26" spans="1:8">
      <c r="A26" s="63"/>
      <c r="B26" s="8"/>
      <c r="C26" s="79"/>
      <c r="D26" s="8"/>
      <c r="E26" s="8"/>
      <c r="F26" s="8"/>
      <c r="G26" s="8"/>
      <c r="H26" s="48"/>
    </row>
    <row r="27" spans="1:8">
      <c r="A27" s="63"/>
      <c r="B27" s="8"/>
      <c r="C27" s="79"/>
      <c r="D27" s="8"/>
      <c r="E27" s="8"/>
      <c r="F27" s="8"/>
      <c r="G27" s="8"/>
      <c r="H27" s="48"/>
    </row>
    <row r="28" spans="1:8">
      <c r="A28" s="63"/>
      <c r="B28" s="8"/>
      <c r="C28" s="79"/>
      <c r="D28" s="8"/>
      <c r="E28" s="8"/>
      <c r="F28" s="8"/>
      <c r="G28" s="8"/>
      <c r="H28" s="48"/>
    </row>
    <row r="29" spans="1:8">
      <c r="A29" s="63"/>
      <c r="B29" s="13"/>
      <c r="C29" s="79"/>
      <c r="D29" s="8"/>
      <c r="E29" s="8"/>
      <c r="F29" s="8"/>
      <c r="G29" s="8"/>
      <c r="H29" s="48"/>
    </row>
    <row r="30" spans="1:8">
      <c r="A30" s="63"/>
      <c r="B30" s="8"/>
      <c r="C30" s="79"/>
      <c r="D30" s="8"/>
      <c r="E30" s="8"/>
      <c r="F30" s="8"/>
      <c r="G30" s="8"/>
      <c r="H30" s="48"/>
    </row>
    <row r="31" spans="1:8">
      <c r="A31" s="77"/>
      <c r="B31" s="10"/>
      <c r="C31" s="79"/>
      <c r="D31" s="8"/>
      <c r="E31" s="8"/>
      <c r="F31" s="8"/>
      <c r="G31" s="8"/>
      <c r="H31" s="48"/>
    </row>
    <row r="32" spans="1:8" ht="14" thickBot="1">
      <c r="A32" s="80"/>
      <c r="B32" s="19"/>
      <c r="C32" s="81"/>
      <c r="D32" s="22"/>
      <c r="E32" s="22"/>
      <c r="F32" s="22"/>
      <c r="G32" s="22"/>
      <c r="H32" s="65"/>
    </row>
    <row r="33" spans="1:8" ht="15" thickTop="1" thickBot="1">
      <c r="A33" s="11"/>
      <c r="B33" s="10"/>
      <c r="C33" s="79"/>
      <c r="D33" s="8"/>
      <c r="E33" s="8"/>
      <c r="F33" s="8"/>
      <c r="G33" s="8"/>
      <c r="H33" s="8"/>
    </row>
    <row r="34" spans="1:8" ht="14" thickTop="1">
      <c r="A34" s="82" t="s">
        <v>362</v>
      </c>
      <c r="B34" s="15" t="s">
        <v>146</v>
      </c>
      <c r="C34" s="74" t="s">
        <v>147</v>
      </c>
      <c r="D34" s="15"/>
      <c r="E34" s="15"/>
      <c r="F34" s="15"/>
      <c r="G34" s="15"/>
      <c r="H34" s="62"/>
    </row>
    <row r="35" spans="1:8">
      <c r="A35" s="86" t="e">
        <f>'h2o calculator'!#REF!</f>
        <v>#REF!</v>
      </c>
      <c r="B35" s="87">
        <f>'h2o calculator'!A231</f>
        <v>38448.275999999998</v>
      </c>
      <c r="C35" s="88">
        <f>B35/4</f>
        <v>9612.0689999999995</v>
      </c>
      <c r="D35" s="8"/>
      <c r="E35" s="8"/>
      <c r="F35" s="8"/>
      <c r="G35" s="8"/>
      <c r="H35" s="48"/>
    </row>
    <row r="36" spans="1:8">
      <c r="A36" s="89" t="str">
        <f>'h2o calculator'!D102</f>
        <v>Metered water usage</v>
      </c>
      <c r="B36" s="90">
        <f>'h2o calculator'!A102</f>
        <v>106560.00000000001</v>
      </c>
      <c r="C36" s="91">
        <f>C9</f>
        <v>229950</v>
      </c>
      <c r="D36" s="8"/>
      <c r="E36" s="8"/>
      <c r="F36" s="8"/>
      <c r="G36" s="8"/>
      <c r="H36" s="48"/>
    </row>
    <row r="37" spans="1:8">
      <c r="A37" s="92" t="s">
        <v>450</v>
      </c>
      <c r="B37" s="93">
        <f>B36-B35</f>
        <v>68111.724000000017</v>
      </c>
      <c r="C37" s="94">
        <f>105*365*6</f>
        <v>229950</v>
      </c>
      <c r="D37" s="8"/>
      <c r="E37" s="8"/>
      <c r="F37" s="8"/>
      <c r="G37" s="8"/>
      <c r="H37" s="48"/>
    </row>
    <row r="38" spans="1:8">
      <c r="A38" s="95" t="str">
        <f>'h2o calculator'!D184</f>
        <v>Runoff (bad)</v>
      </c>
      <c r="B38" s="96">
        <f>'h2o calculator'!A225</f>
        <v>-90090</v>
      </c>
      <c r="C38" s="97" t="e">
        <f>'h2o calculator'!#REF!*'h2o calculator'!A179</f>
        <v>#REF!</v>
      </c>
      <c r="D38" s="8"/>
      <c r="E38" s="8"/>
      <c r="F38" s="8"/>
      <c r="G38" s="8"/>
      <c r="H38" s="48"/>
    </row>
    <row r="39" spans="1:8">
      <c r="A39" s="77"/>
      <c r="B39" s="10"/>
      <c r="C39" s="79"/>
      <c r="D39" s="8"/>
      <c r="E39" s="8"/>
      <c r="F39" s="8"/>
      <c r="G39" s="8"/>
      <c r="H39" s="48"/>
    </row>
    <row r="40" spans="1:8">
      <c r="A40" s="83"/>
      <c r="B40" s="8"/>
      <c r="C40" s="79"/>
      <c r="D40" s="8"/>
      <c r="E40" s="8"/>
      <c r="F40" s="8"/>
      <c r="G40" s="8"/>
      <c r="H40" s="48"/>
    </row>
    <row r="41" spans="1:8">
      <c r="A41" s="63"/>
      <c r="B41" s="8"/>
      <c r="C41" s="79"/>
      <c r="D41" s="8"/>
      <c r="E41" s="8"/>
      <c r="F41" s="8"/>
      <c r="G41" s="8"/>
      <c r="H41" s="48"/>
    </row>
    <row r="42" spans="1:8">
      <c r="A42" s="63"/>
      <c r="B42" s="8"/>
      <c r="C42" s="79"/>
      <c r="D42" s="8"/>
      <c r="E42" s="8"/>
      <c r="F42" s="8"/>
      <c r="G42" s="8"/>
      <c r="H42" s="48"/>
    </row>
    <row r="43" spans="1:8">
      <c r="A43" s="77"/>
      <c r="B43" s="8"/>
      <c r="C43" s="79"/>
      <c r="D43" s="8"/>
      <c r="E43" s="8"/>
      <c r="F43" s="8"/>
      <c r="G43" s="8"/>
      <c r="H43" s="48"/>
    </row>
    <row r="44" spans="1:8">
      <c r="A44" s="63"/>
      <c r="B44" s="8"/>
      <c r="C44" s="79"/>
      <c r="D44" s="8"/>
      <c r="E44" s="8"/>
      <c r="F44" s="8"/>
      <c r="G44" s="8"/>
      <c r="H44" s="48"/>
    </row>
    <row r="45" spans="1:8">
      <c r="A45" s="77"/>
      <c r="B45" s="10"/>
      <c r="C45" s="79"/>
      <c r="D45" s="8"/>
      <c r="E45" s="8"/>
      <c r="F45" s="8"/>
      <c r="G45" s="8"/>
      <c r="H45" s="48"/>
    </row>
    <row r="46" spans="1:8">
      <c r="A46" s="77"/>
      <c r="B46" s="10"/>
      <c r="C46" s="79"/>
      <c r="D46" s="8"/>
      <c r="E46" s="8"/>
      <c r="F46" s="8"/>
      <c r="G46" s="8"/>
      <c r="H46" s="48"/>
    </row>
    <row r="47" spans="1:8">
      <c r="A47" s="63"/>
      <c r="B47" s="8"/>
      <c r="C47" s="79"/>
      <c r="D47" s="8"/>
      <c r="E47" s="8"/>
      <c r="F47" s="8"/>
      <c r="G47" s="8"/>
      <c r="H47" s="48"/>
    </row>
    <row r="48" spans="1:8" ht="14" thickBot="1">
      <c r="A48" s="64"/>
      <c r="B48" s="22"/>
      <c r="C48" s="81"/>
      <c r="D48" s="22"/>
      <c r="E48" s="22"/>
      <c r="F48" s="22"/>
      <c r="G48" s="22"/>
      <c r="H48" s="65"/>
    </row>
    <row r="49" spans="1:8" ht="14" thickTop="1"/>
    <row r="50" spans="1:8" ht="14" thickBot="1"/>
    <row r="51" spans="1:8" ht="14" thickTop="1">
      <c r="A51" s="82" t="s">
        <v>361</v>
      </c>
      <c r="B51" s="15" t="s">
        <v>146</v>
      </c>
      <c r="C51" s="74" t="s">
        <v>147</v>
      </c>
      <c r="D51" s="15"/>
      <c r="E51" s="15"/>
      <c r="F51" s="15"/>
      <c r="G51" s="15"/>
      <c r="H51" s="62"/>
    </row>
    <row r="52" spans="1:8">
      <c r="A52" s="86" t="str">
        <f>'h2o calculator'!D335</f>
        <v>Usable storage in soil</v>
      </c>
      <c r="B52" s="87">
        <f>'h2o calculator'!A335</f>
        <v>39275.25</v>
      </c>
      <c r="C52" s="98">
        <v>0</v>
      </c>
      <c r="D52" s="8"/>
      <c r="E52" s="8"/>
      <c r="F52" s="8"/>
      <c r="G52" s="8"/>
      <c r="H52" s="48"/>
    </row>
    <row r="53" spans="1:8">
      <c r="A53" s="89" t="str">
        <f>'h2o calculator'!D342</f>
        <v>Effective storage in tanks</v>
      </c>
      <c r="B53" s="90">
        <f>'h2o calculator'!A342</f>
        <v>2200</v>
      </c>
      <c r="C53" s="99">
        <v>0</v>
      </c>
      <c r="D53" s="8"/>
      <c r="E53" s="8"/>
      <c r="F53" s="8"/>
      <c r="G53" s="8"/>
      <c r="H53" s="48"/>
    </row>
    <row r="54" spans="1:8">
      <c r="A54" s="107" t="s">
        <v>454</v>
      </c>
      <c r="B54" s="101">
        <f>SUM(B52:B53)</f>
        <v>41475.25</v>
      </c>
      <c r="C54" s="102">
        <f>SUM(C52:C53)</f>
        <v>0</v>
      </c>
      <c r="D54" s="8"/>
      <c r="E54" s="8"/>
      <c r="F54" s="8"/>
      <c r="G54" s="8"/>
      <c r="H54" s="48"/>
    </row>
    <row r="55" spans="1:8">
      <c r="A55" s="63"/>
      <c r="B55" s="8"/>
      <c r="C55" s="79"/>
      <c r="D55" s="8"/>
      <c r="E55" s="8"/>
      <c r="F55" s="8"/>
      <c r="G55" s="8"/>
      <c r="H55" s="48"/>
    </row>
    <row r="56" spans="1:8">
      <c r="A56" s="63"/>
      <c r="B56" s="8"/>
      <c r="C56" s="79"/>
      <c r="D56" s="8"/>
      <c r="E56" s="8"/>
      <c r="F56" s="8"/>
      <c r="G56" s="8"/>
      <c r="H56" s="48"/>
    </row>
    <row r="57" spans="1:8">
      <c r="A57" s="63"/>
      <c r="B57" s="8"/>
      <c r="C57" s="79"/>
      <c r="D57" s="8"/>
      <c r="E57" s="8"/>
      <c r="F57" s="8"/>
      <c r="G57" s="8"/>
      <c r="H57" s="48"/>
    </row>
    <row r="58" spans="1:8">
      <c r="A58" s="63"/>
      <c r="B58" s="8"/>
      <c r="C58" s="79"/>
      <c r="D58" s="8"/>
      <c r="E58" s="8"/>
      <c r="F58" s="8"/>
      <c r="G58" s="8"/>
      <c r="H58" s="48"/>
    </row>
    <row r="59" spans="1:8">
      <c r="A59" s="63"/>
      <c r="B59" s="8"/>
      <c r="C59" s="79"/>
      <c r="D59" s="8"/>
      <c r="E59" s="8"/>
      <c r="F59" s="8"/>
      <c r="G59" s="8"/>
      <c r="H59" s="48"/>
    </row>
    <row r="60" spans="1:8">
      <c r="A60" s="63"/>
      <c r="B60" s="8"/>
      <c r="C60" s="79"/>
      <c r="D60" s="8"/>
      <c r="E60" s="8"/>
      <c r="F60" s="8"/>
      <c r="G60" s="8"/>
      <c r="H60" s="48"/>
    </row>
    <row r="61" spans="1:8">
      <c r="A61" s="63"/>
      <c r="B61" s="8"/>
      <c r="C61" s="79"/>
      <c r="D61" s="8"/>
      <c r="E61" s="8"/>
      <c r="F61" s="8"/>
      <c r="G61" s="8"/>
      <c r="H61" s="48"/>
    </row>
    <row r="62" spans="1:8">
      <c r="A62" s="63"/>
      <c r="B62" s="8"/>
      <c r="C62" s="79"/>
      <c r="D62" s="8"/>
      <c r="E62" s="8"/>
      <c r="F62" s="8"/>
      <c r="G62" s="8"/>
      <c r="H62" s="48"/>
    </row>
    <row r="63" spans="1:8">
      <c r="A63" s="63"/>
      <c r="B63" s="8"/>
      <c r="C63" s="79"/>
      <c r="D63" s="8"/>
      <c r="E63" s="8"/>
      <c r="F63" s="8"/>
      <c r="G63" s="8"/>
      <c r="H63" s="48"/>
    </row>
    <row r="64" spans="1:8">
      <c r="A64" s="63"/>
      <c r="B64" s="8"/>
      <c r="C64" s="79"/>
      <c r="D64" s="8"/>
      <c r="E64" s="8"/>
      <c r="F64" s="8"/>
      <c r="G64" s="8"/>
      <c r="H64" s="48"/>
    </row>
    <row r="65" spans="1:8">
      <c r="A65" s="63"/>
      <c r="B65" s="8"/>
      <c r="C65" s="79"/>
      <c r="D65" s="8"/>
      <c r="E65" s="8"/>
      <c r="F65" s="8"/>
      <c r="G65" s="8"/>
      <c r="H65" s="48"/>
    </row>
    <row r="66" spans="1:8">
      <c r="A66" s="63"/>
      <c r="B66" s="8"/>
      <c r="C66" s="79"/>
      <c r="D66" s="8"/>
      <c r="E66" s="8"/>
      <c r="F66" s="8"/>
      <c r="G66" s="8"/>
      <c r="H66" s="48"/>
    </row>
    <row r="67" spans="1:8">
      <c r="A67" s="63"/>
      <c r="B67" s="8"/>
      <c r="C67" s="79"/>
      <c r="D67" s="8"/>
      <c r="E67" s="8"/>
      <c r="F67" s="8"/>
      <c r="G67" s="8"/>
      <c r="H67" s="48"/>
    </row>
    <row r="68" spans="1:8" ht="14" thickBot="1">
      <c r="A68" s="64"/>
      <c r="B68" s="22"/>
      <c r="C68" s="81"/>
      <c r="D68" s="22"/>
      <c r="E68" s="22"/>
      <c r="F68" s="22"/>
      <c r="G68" s="22"/>
      <c r="H68" s="65"/>
    </row>
    <row r="69" spans="1:8" ht="15" thickTop="1" thickBot="1">
      <c r="A69" s="3"/>
    </row>
    <row r="70" spans="1:8" ht="14" thickTop="1">
      <c r="A70" s="61" t="s">
        <v>455</v>
      </c>
      <c r="B70" s="15"/>
      <c r="C70" s="74"/>
      <c r="D70" s="15"/>
      <c r="E70" s="15"/>
      <c r="F70" s="15"/>
      <c r="G70" s="15"/>
      <c r="H70" s="62"/>
    </row>
    <row r="71" spans="1:8">
      <c r="A71" s="108" t="s">
        <v>456</v>
      </c>
      <c r="B71" s="103"/>
      <c r="C71" s="104"/>
      <c r="D71" s="8"/>
      <c r="E71" s="8"/>
      <c r="F71" s="8"/>
      <c r="G71" s="8"/>
      <c r="H71" s="48"/>
    </row>
    <row r="72" spans="1:8">
      <c r="A72" s="109"/>
      <c r="B72" s="105"/>
      <c r="C72" s="106"/>
      <c r="D72" s="8"/>
      <c r="E72" s="8"/>
      <c r="F72" s="8"/>
      <c r="G72" s="8"/>
      <c r="H72" s="48"/>
    </row>
    <row r="73" spans="1:8" ht="14" thickBot="1">
      <c r="A73" s="64"/>
      <c r="B73" s="22"/>
      <c r="C73" s="81"/>
      <c r="D73" s="22"/>
      <c r="E73" s="22"/>
      <c r="F73" s="22"/>
      <c r="G73" s="22"/>
      <c r="H73" s="65"/>
    </row>
    <row r="74" spans="1:8" ht="14" thickTop="1"/>
  </sheetData>
  <phoneticPr fontId="30" type="noConversion"/>
  <printOptions horizontalCentered="1" verticalCentered="1"/>
  <pageMargins left="0.5" right="0.5" top="0.5" bottom="0.5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/>
  </sheetViews>
  <sheetFormatPr baseColWidth="10" defaultRowHeight="14" customHeight="1" x14ac:dyDescent="0"/>
  <cols>
    <col min="1" max="1" width="7.42578125" style="158" customWidth="1"/>
    <col min="2" max="11" width="6.7109375" style="158" customWidth="1"/>
    <col min="12" max="12" width="7.28515625" style="159" customWidth="1"/>
    <col min="13" max="14" width="7.28515625" style="158" customWidth="1"/>
    <col min="15" max="19" width="6.7109375" style="158" customWidth="1"/>
    <col min="20" max="16384" width="10.7109375" style="158"/>
  </cols>
  <sheetData>
    <row r="1" spans="1:255" ht="27" customHeight="1">
      <c r="A1" s="134" t="s">
        <v>90</v>
      </c>
    </row>
    <row r="2" spans="1:255" s="161" customFormat="1" ht="14" customHeight="1">
      <c r="A2" s="160" t="s">
        <v>470</v>
      </c>
      <c r="B2" s="135"/>
      <c r="C2" s="135"/>
      <c r="D2" s="135"/>
      <c r="L2" s="162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</row>
    <row r="3" spans="1:255" s="161" customFormat="1" ht="14" customHeight="1">
      <c r="A3" s="160"/>
      <c r="B3" s="135"/>
      <c r="C3" s="135"/>
      <c r="D3" s="135"/>
      <c r="L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</row>
    <row r="4" spans="1:255" s="165" customFormat="1" ht="14" customHeight="1">
      <c r="A4" s="211" t="s">
        <v>477</v>
      </c>
      <c r="B4" s="164"/>
      <c r="C4" s="164"/>
      <c r="D4" s="164"/>
      <c r="L4" s="166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</row>
    <row r="5" spans="1:255" s="165" customFormat="1" ht="14" customHeight="1">
      <c r="A5" s="210" t="s">
        <v>476</v>
      </c>
      <c r="B5" s="164"/>
      <c r="C5" s="164"/>
      <c r="D5" s="164"/>
      <c r="L5" s="166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</row>
    <row r="6" spans="1:255" s="165" customFormat="1" ht="14" customHeight="1">
      <c r="A6" s="210"/>
      <c r="B6" s="164"/>
      <c r="C6" s="164"/>
      <c r="D6" s="164"/>
      <c r="L6" s="166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</row>
    <row r="7" spans="1:255" s="161" customFormat="1" ht="14" customHeight="1">
      <c r="A7" s="160"/>
      <c r="B7" s="135" t="s">
        <v>475</v>
      </c>
      <c r="C7" s="135"/>
      <c r="D7" s="135"/>
      <c r="L7" s="162" t="s">
        <v>474</v>
      </c>
      <c r="M7" s="168" t="s">
        <v>473</v>
      </c>
      <c r="N7" s="169"/>
      <c r="P7" s="170"/>
      <c r="Q7" s="171" t="s">
        <v>131</v>
      </c>
      <c r="R7" s="171"/>
      <c r="S7" s="172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</row>
    <row r="8" spans="1:255" s="176" customFormat="1" ht="14" customHeight="1">
      <c r="A8" s="198"/>
      <c r="B8" s="174">
        <v>2006</v>
      </c>
      <c r="C8" s="174">
        <v>2007</v>
      </c>
      <c r="D8" s="174">
        <v>2008</v>
      </c>
      <c r="E8" s="174">
        <v>2009</v>
      </c>
      <c r="F8" s="174">
        <v>2010</v>
      </c>
      <c r="G8" s="174">
        <v>2011</v>
      </c>
      <c r="H8" s="173">
        <v>2012</v>
      </c>
      <c r="I8" s="173">
        <v>2013</v>
      </c>
      <c r="J8" s="173">
        <v>2014</v>
      </c>
      <c r="K8" s="204">
        <v>2015</v>
      </c>
      <c r="L8" s="175" t="s">
        <v>260</v>
      </c>
      <c r="M8" s="176" t="s">
        <v>472</v>
      </c>
      <c r="N8" s="176" t="s">
        <v>145</v>
      </c>
      <c r="P8" s="177"/>
      <c r="Q8" s="176" t="s">
        <v>91</v>
      </c>
      <c r="R8" s="176" t="s">
        <v>145</v>
      </c>
      <c r="S8" s="178" t="s">
        <v>92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  <c r="IT8" s="179"/>
      <c r="IU8" s="179"/>
    </row>
    <row r="9" spans="1:255" s="161" customFormat="1" ht="14" customHeight="1">
      <c r="A9" s="180" t="s">
        <v>104</v>
      </c>
      <c r="B9" s="205">
        <v>5</v>
      </c>
      <c r="C9" s="181">
        <v>8</v>
      </c>
      <c r="D9" s="181">
        <v>10</v>
      </c>
      <c r="E9" s="181">
        <v>4</v>
      </c>
      <c r="F9" s="181">
        <v>36</v>
      </c>
      <c r="G9" s="181">
        <v>4</v>
      </c>
      <c r="H9" s="181">
        <v>7</v>
      </c>
      <c r="I9" s="181">
        <v>3</v>
      </c>
      <c r="J9" s="181">
        <v>6</v>
      </c>
      <c r="K9" s="182"/>
      <c r="L9" s="209">
        <f t="shared" ref="L9:L20" si="0">AVERAGE(B9:K9)</f>
        <v>9.2222222222222214</v>
      </c>
      <c r="M9" s="199">
        <v>4</v>
      </c>
      <c r="N9" s="209">
        <f t="shared" ref="N9:N20" si="1">L9-M9</f>
        <v>5.2222222222222214</v>
      </c>
      <c r="P9" s="180" t="s">
        <v>93</v>
      </c>
      <c r="Q9" s="184">
        <f>(M9*7.481*100)/30</f>
        <v>99.74666666666667</v>
      </c>
      <c r="R9" s="185">
        <f>(N9*7.481*100)/30</f>
        <v>130.22481481481481</v>
      </c>
      <c r="S9" s="186">
        <f>R9+Q9</f>
        <v>229.97148148148148</v>
      </c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</row>
    <row r="10" spans="1:255" s="161" customFormat="1" ht="14" customHeight="1">
      <c r="A10" s="180" t="s">
        <v>103</v>
      </c>
      <c r="B10" s="191">
        <v>9</v>
      </c>
      <c r="C10" s="183">
        <v>7</v>
      </c>
      <c r="D10" s="183">
        <v>7</v>
      </c>
      <c r="E10" s="183">
        <v>4</v>
      </c>
      <c r="F10" s="183">
        <v>6</v>
      </c>
      <c r="G10" s="183">
        <v>5</v>
      </c>
      <c r="H10" s="183">
        <v>4</v>
      </c>
      <c r="I10" s="183">
        <v>3</v>
      </c>
      <c r="J10" s="183">
        <v>8</v>
      </c>
      <c r="K10" s="187"/>
      <c r="L10" s="209">
        <f t="shared" si="0"/>
        <v>5.8888888888888893</v>
      </c>
      <c r="M10" s="203">
        <f>M$9</f>
        <v>4</v>
      </c>
      <c r="N10" s="209">
        <f t="shared" si="1"/>
        <v>1.8888888888888893</v>
      </c>
      <c r="P10" s="180" t="s">
        <v>94</v>
      </c>
      <c r="Q10" s="188">
        <f t="shared" ref="Q10:R20" si="2">(M10*7.481*100)/30</f>
        <v>99.74666666666667</v>
      </c>
      <c r="R10" s="189">
        <f t="shared" si="2"/>
        <v>47.1025925925926</v>
      </c>
      <c r="S10" s="190">
        <f t="shared" ref="S10:S20" si="3">R10+Q10</f>
        <v>146.84925925925927</v>
      </c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</row>
    <row r="11" spans="1:255" s="161" customFormat="1" ht="14" customHeight="1">
      <c r="A11" s="180" t="s">
        <v>102</v>
      </c>
      <c r="B11" s="191">
        <v>7</v>
      </c>
      <c r="C11" s="183">
        <v>4</v>
      </c>
      <c r="D11" s="183">
        <v>6</v>
      </c>
      <c r="E11" s="183">
        <v>3</v>
      </c>
      <c r="F11" s="183">
        <v>14</v>
      </c>
      <c r="G11" s="183">
        <v>6</v>
      </c>
      <c r="H11" s="183">
        <v>5</v>
      </c>
      <c r="I11" s="183">
        <v>6</v>
      </c>
      <c r="J11" s="183">
        <v>3</v>
      </c>
      <c r="K11" s="187"/>
      <c r="L11" s="209">
        <f t="shared" si="0"/>
        <v>6</v>
      </c>
      <c r="M11" s="203">
        <f t="shared" ref="M11:M20" si="4">M$9</f>
        <v>4</v>
      </c>
      <c r="N11" s="209">
        <f t="shared" si="1"/>
        <v>2</v>
      </c>
      <c r="P11" s="180" t="s">
        <v>95</v>
      </c>
      <c r="Q11" s="188">
        <f t="shared" si="2"/>
        <v>99.74666666666667</v>
      </c>
      <c r="R11" s="189">
        <f t="shared" si="2"/>
        <v>49.873333333333335</v>
      </c>
      <c r="S11" s="190">
        <f t="shared" si="3"/>
        <v>149.62</v>
      </c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</row>
    <row r="12" spans="1:255" s="161" customFormat="1" ht="14" customHeight="1">
      <c r="A12" s="180" t="s">
        <v>101</v>
      </c>
      <c r="B12" s="191">
        <v>8</v>
      </c>
      <c r="C12" s="183">
        <v>9</v>
      </c>
      <c r="D12" s="183">
        <v>12</v>
      </c>
      <c r="E12" s="183">
        <v>9</v>
      </c>
      <c r="F12" s="183">
        <v>28</v>
      </c>
      <c r="G12" s="183">
        <v>7</v>
      </c>
      <c r="H12" s="183">
        <v>3</v>
      </c>
      <c r="I12" s="183">
        <v>5</v>
      </c>
      <c r="J12" s="183">
        <v>15</v>
      </c>
      <c r="K12" s="187"/>
      <c r="L12" s="209">
        <f t="shared" si="0"/>
        <v>10.666666666666666</v>
      </c>
      <c r="M12" s="203">
        <f t="shared" si="4"/>
        <v>4</v>
      </c>
      <c r="N12" s="209">
        <f t="shared" si="1"/>
        <v>6.6666666666666661</v>
      </c>
      <c r="P12" s="180" t="s">
        <v>96</v>
      </c>
      <c r="Q12" s="188">
        <f t="shared" si="2"/>
        <v>99.74666666666667</v>
      </c>
      <c r="R12" s="189">
        <f t="shared" si="2"/>
        <v>166.24444444444444</v>
      </c>
      <c r="S12" s="190">
        <f t="shared" si="3"/>
        <v>265.99111111111108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</row>
    <row r="13" spans="1:255" s="161" customFormat="1" ht="14" customHeight="1">
      <c r="A13" s="180" t="s">
        <v>100</v>
      </c>
      <c r="B13" s="191">
        <v>12</v>
      </c>
      <c r="C13" s="183">
        <v>13</v>
      </c>
      <c r="D13" s="183">
        <v>15</v>
      </c>
      <c r="E13" s="183">
        <v>13</v>
      </c>
      <c r="F13" s="183">
        <v>16</v>
      </c>
      <c r="G13" s="183">
        <v>10</v>
      </c>
      <c r="H13" s="183">
        <v>6</v>
      </c>
      <c r="I13" s="183">
        <v>7</v>
      </c>
      <c r="J13" s="183">
        <v>6</v>
      </c>
      <c r="K13" s="187"/>
      <c r="L13" s="209">
        <f t="shared" si="0"/>
        <v>10.888888888888889</v>
      </c>
      <c r="M13" s="203">
        <f t="shared" si="4"/>
        <v>4</v>
      </c>
      <c r="N13" s="209">
        <f t="shared" si="1"/>
        <v>6.8888888888888893</v>
      </c>
      <c r="P13" s="180" t="s">
        <v>97</v>
      </c>
      <c r="Q13" s="188">
        <f t="shared" si="2"/>
        <v>99.74666666666667</v>
      </c>
      <c r="R13" s="189">
        <f t="shared" si="2"/>
        <v>171.78592592592594</v>
      </c>
      <c r="S13" s="190">
        <f t="shared" si="3"/>
        <v>271.53259259259261</v>
      </c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</row>
    <row r="14" spans="1:255" s="161" customFormat="1" ht="14" customHeight="1">
      <c r="A14" s="180" t="s">
        <v>99</v>
      </c>
      <c r="B14" s="191">
        <v>11</v>
      </c>
      <c r="C14" s="183">
        <v>29</v>
      </c>
      <c r="D14" s="183">
        <v>14</v>
      </c>
      <c r="E14" s="183">
        <v>6</v>
      </c>
      <c r="F14" s="183">
        <v>28</v>
      </c>
      <c r="G14" s="183">
        <v>12</v>
      </c>
      <c r="H14" s="183">
        <v>10</v>
      </c>
      <c r="I14" s="183">
        <v>19</v>
      </c>
      <c r="J14" s="183">
        <v>6</v>
      </c>
      <c r="K14" s="187"/>
      <c r="L14" s="209">
        <f t="shared" si="0"/>
        <v>15</v>
      </c>
      <c r="M14" s="203">
        <f t="shared" si="4"/>
        <v>4</v>
      </c>
      <c r="N14" s="209">
        <f t="shared" si="1"/>
        <v>11</v>
      </c>
      <c r="P14" s="180" t="s">
        <v>98</v>
      </c>
      <c r="Q14" s="188">
        <f t="shared" si="2"/>
        <v>99.74666666666667</v>
      </c>
      <c r="R14" s="189">
        <f t="shared" si="2"/>
        <v>274.30333333333334</v>
      </c>
      <c r="S14" s="190">
        <f t="shared" si="3"/>
        <v>374.05</v>
      </c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</row>
    <row r="15" spans="1:255" s="161" customFormat="1" ht="14" customHeight="1">
      <c r="A15" s="180" t="s">
        <v>98</v>
      </c>
      <c r="B15" s="191">
        <v>15</v>
      </c>
      <c r="C15" s="183">
        <v>16</v>
      </c>
      <c r="D15" s="183">
        <v>12</v>
      </c>
      <c r="E15" s="183">
        <v>16</v>
      </c>
      <c r="F15" s="183">
        <v>12</v>
      </c>
      <c r="G15" s="183">
        <v>30</v>
      </c>
      <c r="H15" s="183">
        <v>10</v>
      </c>
      <c r="I15" s="183">
        <v>11</v>
      </c>
      <c r="J15" s="183">
        <v>8</v>
      </c>
      <c r="K15" s="187"/>
      <c r="L15" s="209">
        <f t="shared" si="0"/>
        <v>14.444444444444445</v>
      </c>
      <c r="M15" s="203">
        <f t="shared" si="4"/>
        <v>4</v>
      </c>
      <c r="N15" s="209">
        <f t="shared" si="1"/>
        <v>10.444444444444445</v>
      </c>
      <c r="P15" s="180" t="s">
        <v>99</v>
      </c>
      <c r="Q15" s="188">
        <f t="shared" si="2"/>
        <v>99.74666666666667</v>
      </c>
      <c r="R15" s="189">
        <f t="shared" si="2"/>
        <v>260.44962962962961</v>
      </c>
      <c r="S15" s="190">
        <f t="shared" si="3"/>
        <v>360.19629629629628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</row>
    <row r="16" spans="1:255" s="161" customFormat="1" ht="14" customHeight="1">
      <c r="A16" s="180" t="s">
        <v>97</v>
      </c>
      <c r="B16" s="191">
        <v>11</v>
      </c>
      <c r="C16" s="183">
        <v>17</v>
      </c>
      <c r="D16" s="183">
        <v>16</v>
      </c>
      <c r="E16" s="183">
        <v>10</v>
      </c>
      <c r="F16" s="183">
        <v>14</v>
      </c>
      <c r="G16" s="183">
        <v>20</v>
      </c>
      <c r="H16" s="183">
        <v>10</v>
      </c>
      <c r="I16" s="183">
        <v>5</v>
      </c>
      <c r="J16" s="183">
        <v>7</v>
      </c>
      <c r="K16" s="187"/>
      <c r="L16" s="209">
        <f t="shared" si="0"/>
        <v>12.222222222222221</v>
      </c>
      <c r="M16" s="203">
        <f t="shared" si="4"/>
        <v>4</v>
      </c>
      <c r="N16" s="209">
        <f t="shared" si="1"/>
        <v>8.2222222222222214</v>
      </c>
      <c r="P16" s="180" t="s">
        <v>100</v>
      </c>
      <c r="Q16" s="188">
        <f t="shared" si="2"/>
        <v>99.74666666666667</v>
      </c>
      <c r="R16" s="189">
        <f t="shared" si="2"/>
        <v>205.03481481481478</v>
      </c>
      <c r="S16" s="190">
        <f t="shared" si="3"/>
        <v>304.78148148148148</v>
      </c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</row>
    <row r="17" spans="1:255" s="161" customFormat="1" ht="14" customHeight="1">
      <c r="A17" s="180" t="s">
        <v>96</v>
      </c>
      <c r="B17" s="191">
        <v>16</v>
      </c>
      <c r="C17" s="183">
        <v>11</v>
      </c>
      <c r="D17" s="183">
        <v>12</v>
      </c>
      <c r="E17" s="183">
        <v>10</v>
      </c>
      <c r="F17" s="183">
        <v>19</v>
      </c>
      <c r="G17" s="183">
        <v>9</v>
      </c>
      <c r="H17" s="183">
        <v>6</v>
      </c>
      <c r="I17" s="183">
        <v>9</v>
      </c>
      <c r="J17" s="183">
        <v>5</v>
      </c>
      <c r="K17" s="187"/>
      <c r="L17" s="209">
        <f t="shared" si="0"/>
        <v>10.777777777777779</v>
      </c>
      <c r="M17" s="203">
        <f t="shared" si="4"/>
        <v>4</v>
      </c>
      <c r="N17" s="209">
        <f t="shared" si="1"/>
        <v>6.7777777777777786</v>
      </c>
      <c r="P17" s="180" t="s">
        <v>101</v>
      </c>
      <c r="Q17" s="188">
        <f t="shared" si="2"/>
        <v>99.74666666666667</v>
      </c>
      <c r="R17" s="189">
        <f t="shared" si="2"/>
        <v>169.0151851851852</v>
      </c>
      <c r="S17" s="190">
        <f t="shared" si="3"/>
        <v>268.76185185185187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</row>
    <row r="18" spans="1:255" s="161" customFormat="1" ht="14" customHeight="1">
      <c r="A18" s="180" t="s">
        <v>95</v>
      </c>
      <c r="B18" s="191">
        <v>9</v>
      </c>
      <c r="C18" s="183">
        <v>17</v>
      </c>
      <c r="D18" s="183">
        <v>8</v>
      </c>
      <c r="E18" s="183">
        <v>19</v>
      </c>
      <c r="F18" s="183">
        <v>7</v>
      </c>
      <c r="G18" s="183">
        <v>4</v>
      </c>
      <c r="H18" s="183">
        <v>6</v>
      </c>
      <c r="I18" s="183">
        <v>14</v>
      </c>
      <c r="J18" s="206"/>
      <c r="K18" s="187"/>
      <c r="L18" s="209">
        <f t="shared" si="0"/>
        <v>10.5</v>
      </c>
      <c r="M18" s="203">
        <f t="shared" si="4"/>
        <v>4</v>
      </c>
      <c r="N18" s="209">
        <f t="shared" si="1"/>
        <v>6.5</v>
      </c>
      <c r="P18" s="180" t="s">
        <v>102</v>
      </c>
      <c r="Q18" s="188">
        <f t="shared" si="2"/>
        <v>99.74666666666667</v>
      </c>
      <c r="R18" s="189">
        <f t="shared" si="2"/>
        <v>162.08833333333331</v>
      </c>
      <c r="S18" s="190">
        <f t="shared" si="3"/>
        <v>261.83499999999998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</row>
    <row r="19" spans="1:255" s="161" customFormat="1" ht="14" customHeight="1">
      <c r="A19" s="180" t="s">
        <v>94</v>
      </c>
      <c r="B19" s="191">
        <v>9</v>
      </c>
      <c r="C19" s="183">
        <v>17</v>
      </c>
      <c r="D19" s="183">
        <v>4</v>
      </c>
      <c r="E19" s="183">
        <v>16</v>
      </c>
      <c r="F19" s="183">
        <v>5</v>
      </c>
      <c r="G19" s="183">
        <v>4</v>
      </c>
      <c r="H19" s="183">
        <v>4</v>
      </c>
      <c r="I19" s="183">
        <v>7</v>
      </c>
      <c r="J19" s="206"/>
      <c r="K19" s="187"/>
      <c r="L19" s="209">
        <f t="shared" si="0"/>
        <v>8.25</v>
      </c>
      <c r="M19" s="203">
        <f t="shared" si="4"/>
        <v>4</v>
      </c>
      <c r="N19" s="209">
        <f t="shared" si="1"/>
        <v>4.25</v>
      </c>
      <c r="P19" s="180" t="s">
        <v>103</v>
      </c>
      <c r="Q19" s="188">
        <f t="shared" si="2"/>
        <v>99.74666666666667</v>
      </c>
      <c r="R19" s="189">
        <f t="shared" si="2"/>
        <v>105.98083333333332</v>
      </c>
      <c r="S19" s="190">
        <f t="shared" si="3"/>
        <v>205.72749999999999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</row>
    <row r="20" spans="1:255" s="161" customFormat="1" ht="14" customHeight="1">
      <c r="A20" s="157" t="s">
        <v>93</v>
      </c>
      <c r="B20" s="192">
        <v>8</v>
      </c>
      <c r="C20" s="193">
        <v>7</v>
      </c>
      <c r="D20" s="193">
        <v>3</v>
      </c>
      <c r="E20" s="193">
        <v>11</v>
      </c>
      <c r="F20" s="193">
        <v>4</v>
      </c>
      <c r="G20" s="193">
        <v>3</v>
      </c>
      <c r="H20" s="193">
        <v>3</v>
      </c>
      <c r="I20" s="193">
        <v>5</v>
      </c>
      <c r="J20" s="207"/>
      <c r="K20" s="194"/>
      <c r="L20" s="209">
        <f t="shared" si="0"/>
        <v>5.5</v>
      </c>
      <c r="M20" s="203">
        <f t="shared" si="4"/>
        <v>4</v>
      </c>
      <c r="N20" s="209">
        <f t="shared" si="1"/>
        <v>1.5</v>
      </c>
      <c r="P20" s="180" t="s">
        <v>104</v>
      </c>
      <c r="Q20" s="195">
        <f t="shared" si="2"/>
        <v>99.74666666666667</v>
      </c>
      <c r="R20" s="196">
        <f t="shared" si="2"/>
        <v>37.404999999999994</v>
      </c>
      <c r="S20" s="197">
        <f t="shared" si="3"/>
        <v>137.15166666666667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</row>
    <row r="21" spans="1:255" s="189" customFormat="1" ht="14" customHeight="1">
      <c r="A21" s="200" t="s">
        <v>471</v>
      </c>
      <c r="B21" s="208">
        <f t="shared" ref="B21:I21" si="5">SUM(B9:B20)</f>
        <v>120</v>
      </c>
      <c r="C21" s="208">
        <f t="shared" si="5"/>
        <v>155</v>
      </c>
      <c r="D21" s="208">
        <f t="shared" si="5"/>
        <v>119</v>
      </c>
      <c r="E21" s="208">
        <f t="shared" si="5"/>
        <v>121</v>
      </c>
      <c r="F21" s="208">
        <f t="shared" si="5"/>
        <v>189</v>
      </c>
      <c r="G21" s="208">
        <f t="shared" si="5"/>
        <v>114</v>
      </c>
      <c r="H21" s="208">
        <f t="shared" si="5"/>
        <v>74</v>
      </c>
      <c r="I21" s="208">
        <f t="shared" si="5"/>
        <v>94</v>
      </c>
      <c r="J21" s="208"/>
      <c r="K21" s="208"/>
      <c r="L21" s="189">
        <f>AVERAGE(L9:L20)</f>
        <v>9.9467592592592595</v>
      </c>
      <c r="M21" s="202">
        <v>4</v>
      </c>
      <c r="N21" s="189">
        <f>AVERAGE(N9:N20)</f>
        <v>5.9467592592592595</v>
      </c>
      <c r="P21" s="189" t="s">
        <v>311</v>
      </c>
      <c r="Q21" s="196">
        <f>AVERAGE(Q9:Q20)</f>
        <v>99.74666666666667</v>
      </c>
      <c r="R21" s="196">
        <f>AVERAGE(R9:R20)</f>
        <v>148.29235339506172</v>
      </c>
      <c r="S21" s="197">
        <f>AVERAGE(S9:S20)</f>
        <v>248.03902006172839</v>
      </c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</row>
    <row r="22" spans="1:255" s="189" customFormat="1" ht="14" customHeight="1">
      <c r="A22" s="200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M22" s="202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1"/>
      <c r="IP22" s="201"/>
      <c r="IQ22" s="201"/>
      <c r="IR22" s="201"/>
      <c r="IS22" s="201"/>
      <c r="IT22" s="201"/>
      <c r="IU22" s="201"/>
    </row>
    <row r="50" spans="1:12" ht="14" customHeight="1">
      <c r="L50" s="158"/>
    </row>
    <row r="51" spans="1:12" ht="14" customHeight="1">
      <c r="L51" s="158"/>
    </row>
    <row r="56" spans="1:12" ht="14" customHeight="1">
      <c r="A56" s="212" t="s">
        <v>478</v>
      </c>
    </row>
    <row r="57" spans="1:12" ht="14" customHeight="1">
      <c r="A57" s="212" t="s">
        <v>479</v>
      </c>
    </row>
    <row r="91" spans="12:12" ht="14" customHeight="1">
      <c r="L91" s="158"/>
    </row>
    <row r="92" spans="12:12" ht="14" customHeight="1">
      <c r="L92" s="158"/>
    </row>
    <row r="93" spans="12:12" ht="14" customHeight="1">
      <c r="L93" s="158"/>
    </row>
    <row r="94" spans="12:12" ht="14" customHeight="1">
      <c r="L94" s="158"/>
    </row>
    <row r="95" spans="12:12" ht="14" customHeight="1">
      <c r="L95" s="158"/>
    </row>
    <row r="96" spans="12:12" ht="14" customHeight="1">
      <c r="L96" s="158"/>
    </row>
    <row r="107" spans="12:12" ht="14" customHeight="1">
      <c r="L107" s="158"/>
    </row>
    <row r="108" spans="12:12" ht="14" customHeight="1">
      <c r="L108" s="158"/>
    </row>
    <row r="132" spans="12:12" ht="14" customHeight="1">
      <c r="L132" s="158"/>
    </row>
    <row r="133" spans="12:12" ht="14" customHeight="1">
      <c r="L133" s="158"/>
    </row>
  </sheetData>
  <phoneticPr fontId="30" type="noConversion"/>
  <hyperlinks>
    <hyperlink ref="A5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/>
  </sheetViews>
  <sheetFormatPr baseColWidth="10" defaultRowHeight="14" customHeight="1" x14ac:dyDescent="0"/>
  <cols>
    <col min="1" max="1" width="7.42578125" style="158" customWidth="1"/>
    <col min="2" max="11" width="6.7109375" style="158" customWidth="1"/>
    <col min="12" max="12" width="7.28515625" style="159" customWidth="1"/>
    <col min="13" max="14" width="7.28515625" style="158" customWidth="1"/>
    <col min="15" max="19" width="6.7109375" style="158" customWidth="1"/>
    <col min="20" max="16384" width="10.7109375" style="158"/>
  </cols>
  <sheetData>
    <row r="1" spans="1:255" ht="27" customHeight="1">
      <c r="A1" s="134" t="s">
        <v>90</v>
      </c>
    </row>
    <row r="2" spans="1:255" s="161" customFormat="1" ht="14" customHeight="1">
      <c r="A2" s="160" t="s">
        <v>470</v>
      </c>
      <c r="B2" s="135"/>
      <c r="C2" s="135"/>
      <c r="D2" s="135"/>
      <c r="L2" s="162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</row>
    <row r="3" spans="1:255" s="161" customFormat="1" ht="14" customHeight="1">
      <c r="A3" s="211" t="s">
        <v>480</v>
      </c>
      <c r="B3" s="135"/>
      <c r="C3" s="135"/>
      <c r="D3" s="135"/>
      <c r="L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</row>
    <row r="4" spans="1:255" s="165" customFormat="1" ht="14" customHeight="1">
      <c r="A4" s="210" t="s">
        <v>476</v>
      </c>
      <c r="B4" s="164"/>
      <c r="C4" s="164"/>
      <c r="D4" s="164"/>
      <c r="L4" s="166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</row>
    <row r="5" spans="1:255" s="165" customFormat="1" ht="14" customHeight="1">
      <c r="A5" s="211" t="s">
        <v>481</v>
      </c>
      <c r="B5" s="164"/>
      <c r="C5" s="164"/>
      <c r="D5" s="164"/>
      <c r="L5" s="166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</row>
    <row r="6" spans="1:255" s="165" customFormat="1" ht="14" customHeight="1">
      <c r="B6" s="164"/>
      <c r="C6" s="164"/>
      <c r="D6" s="164"/>
      <c r="L6" s="166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</row>
    <row r="7" spans="1:255" s="161" customFormat="1" ht="14" customHeight="1">
      <c r="A7" s="160"/>
      <c r="B7" s="135" t="s">
        <v>475</v>
      </c>
      <c r="C7" s="135"/>
      <c r="D7" s="135"/>
      <c r="L7" s="162" t="s">
        <v>474</v>
      </c>
      <c r="M7" s="168" t="s">
        <v>473</v>
      </c>
      <c r="N7" s="169"/>
      <c r="P7" s="170"/>
      <c r="Q7" s="171" t="s">
        <v>131</v>
      </c>
      <c r="R7" s="171"/>
      <c r="S7" s="172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</row>
    <row r="8" spans="1:255" s="176" customFormat="1" ht="14" customHeight="1">
      <c r="A8" s="198"/>
      <c r="B8" s="174">
        <v>2006</v>
      </c>
      <c r="C8" s="174">
        <v>2007</v>
      </c>
      <c r="D8" s="174">
        <v>2008</v>
      </c>
      <c r="E8" s="174">
        <v>2009</v>
      </c>
      <c r="F8" s="174">
        <v>2010</v>
      </c>
      <c r="G8" s="174">
        <v>2011</v>
      </c>
      <c r="H8" s="173">
        <v>2012</v>
      </c>
      <c r="I8" s="173">
        <v>2013</v>
      </c>
      <c r="J8" s="173">
        <v>2014</v>
      </c>
      <c r="K8" s="204">
        <v>2015</v>
      </c>
      <c r="L8" s="175" t="s">
        <v>260</v>
      </c>
      <c r="M8" s="176" t="s">
        <v>472</v>
      </c>
      <c r="N8" s="176" t="s">
        <v>145</v>
      </c>
      <c r="P8" s="177"/>
      <c r="Q8" s="176" t="s">
        <v>91</v>
      </c>
      <c r="R8" s="176" t="s">
        <v>145</v>
      </c>
      <c r="S8" s="178" t="s">
        <v>92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  <c r="IT8" s="179"/>
      <c r="IU8" s="179"/>
    </row>
    <row r="9" spans="1:255" s="161" customFormat="1" ht="14" customHeight="1">
      <c r="A9" s="180" t="s">
        <v>104</v>
      </c>
      <c r="B9" s="205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  <c r="L9" s="209">
        <f t="shared" ref="L9:L20" si="0">AVERAGE(B9:K9)</f>
        <v>0</v>
      </c>
      <c r="M9" s="199">
        <v>0</v>
      </c>
      <c r="N9" s="209">
        <f t="shared" ref="N9:N20" si="1">L9-M9</f>
        <v>0</v>
      </c>
      <c r="P9" s="180" t="s">
        <v>93</v>
      </c>
      <c r="Q9" s="184">
        <f>(M9*7.481*100)/30</f>
        <v>0</v>
      </c>
      <c r="R9" s="185">
        <f>(N9*7.481*100)/30</f>
        <v>0</v>
      </c>
      <c r="S9" s="186">
        <f>R9+Q9</f>
        <v>0</v>
      </c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</row>
    <row r="10" spans="1:255" s="161" customFormat="1" ht="14" customHeight="1">
      <c r="A10" s="180" t="s">
        <v>103</v>
      </c>
      <c r="B10" s="191">
        <v>0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7">
        <v>0</v>
      </c>
      <c r="L10" s="209">
        <f t="shared" si="0"/>
        <v>0</v>
      </c>
      <c r="M10" s="203">
        <f>M$9</f>
        <v>0</v>
      </c>
      <c r="N10" s="209">
        <f t="shared" si="1"/>
        <v>0</v>
      </c>
      <c r="P10" s="180" t="s">
        <v>94</v>
      </c>
      <c r="Q10" s="188">
        <f t="shared" ref="Q10:R20" si="2">(M10*7.481*100)/30</f>
        <v>0</v>
      </c>
      <c r="R10" s="189">
        <f t="shared" si="2"/>
        <v>0</v>
      </c>
      <c r="S10" s="190">
        <f t="shared" ref="S10:S20" si="3">R10+Q10</f>
        <v>0</v>
      </c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</row>
    <row r="11" spans="1:255" s="161" customFormat="1" ht="14" customHeight="1">
      <c r="A11" s="180" t="s">
        <v>102</v>
      </c>
      <c r="B11" s="191">
        <v>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7">
        <v>0</v>
      </c>
      <c r="L11" s="209">
        <f t="shared" si="0"/>
        <v>0</v>
      </c>
      <c r="M11" s="203">
        <f t="shared" ref="M11:M20" si="4">M$9</f>
        <v>0</v>
      </c>
      <c r="N11" s="209">
        <f t="shared" si="1"/>
        <v>0</v>
      </c>
      <c r="P11" s="180" t="s">
        <v>95</v>
      </c>
      <c r="Q11" s="188">
        <f t="shared" si="2"/>
        <v>0</v>
      </c>
      <c r="R11" s="189">
        <f t="shared" si="2"/>
        <v>0</v>
      </c>
      <c r="S11" s="190">
        <f t="shared" si="3"/>
        <v>0</v>
      </c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</row>
    <row r="12" spans="1:255" s="161" customFormat="1" ht="14" customHeight="1">
      <c r="A12" s="180" t="s">
        <v>101</v>
      </c>
      <c r="B12" s="191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7">
        <v>0</v>
      </c>
      <c r="L12" s="209">
        <f t="shared" si="0"/>
        <v>0</v>
      </c>
      <c r="M12" s="203">
        <f t="shared" si="4"/>
        <v>0</v>
      </c>
      <c r="N12" s="209">
        <f t="shared" si="1"/>
        <v>0</v>
      </c>
      <c r="P12" s="180" t="s">
        <v>96</v>
      </c>
      <c r="Q12" s="188">
        <f t="shared" si="2"/>
        <v>0</v>
      </c>
      <c r="R12" s="189">
        <f t="shared" si="2"/>
        <v>0</v>
      </c>
      <c r="S12" s="190">
        <f t="shared" si="3"/>
        <v>0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</row>
    <row r="13" spans="1:255" s="161" customFormat="1" ht="14" customHeight="1">
      <c r="A13" s="180" t="s">
        <v>100</v>
      </c>
      <c r="B13" s="191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7">
        <v>0</v>
      </c>
      <c r="L13" s="209">
        <f t="shared" si="0"/>
        <v>0</v>
      </c>
      <c r="M13" s="203">
        <f t="shared" si="4"/>
        <v>0</v>
      </c>
      <c r="N13" s="209">
        <f t="shared" si="1"/>
        <v>0</v>
      </c>
      <c r="P13" s="180" t="s">
        <v>97</v>
      </c>
      <c r="Q13" s="188">
        <f t="shared" si="2"/>
        <v>0</v>
      </c>
      <c r="R13" s="189">
        <f t="shared" si="2"/>
        <v>0</v>
      </c>
      <c r="S13" s="190">
        <f t="shared" si="3"/>
        <v>0</v>
      </c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</row>
    <row r="14" spans="1:255" s="161" customFormat="1" ht="14" customHeight="1">
      <c r="A14" s="180" t="s">
        <v>99</v>
      </c>
      <c r="B14" s="191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7">
        <v>0</v>
      </c>
      <c r="L14" s="209">
        <f t="shared" si="0"/>
        <v>0</v>
      </c>
      <c r="M14" s="203">
        <f t="shared" si="4"/>
        <v>0</v>
      </c>
      <c r="N14" s="209">
        <f t="shared" si="1"/>
        <v>0</v>
      </c>
      <c r="P14" s="180" t="s">
        <v>98</v>
      </c>
      <c r="Q14" s="188">
        <f t="shared" si="2"/>
        <v>0</v>
      </c>
      <c r="R14" s="189">
        <f t="shared" si="2"/>
        <v>0</v>
      </c>
      <c r="S14" s="190">
        <f t="shared" si="3"/>
        <v>0</v>
      </c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</row>
    <row r="15" spans="1:255" s="161" customFormat="1" ht="14" customHeight="1">
      <c r="A15" s="180" t="s">
        <v>98</v>
      </c>
      <c r="B15" s="191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7">
        <v>0</v>
      </c>
      <c r="L15" s="209">
        <f t="shared" si="0"/>
        <v>0</v>
      </c>
      <c r="M15" s="203">
        <f t="shared" si="4"/>
        <v>0</v>
      </c>
      <c r="N15" s="209">
        <f t="shared" si="1"/>
        <v>0</v>
      </c>
      <c r="P15" s="180" t="s">
        <v>99</v>
      </c>
      <c r="Q15" s="188">
        <f t="shared" si="2"/>
        <v>0</v>
      </c>
      <c r="R15" s="189">
        <f t="shared" si="2"/>
        <v>0</v>
      </c>
      <c r="S15" s="190">
        <f t="shared" si="3"/>
        <v>0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</row>
    <row r="16" spans="1:255" s="161" customFormat="1" ht="14" customHeight="1">
      <c r="A16" s="180" t="s">
        <v>97</v>
      </c>
      <c r="B16" s="191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7">
        <v>0</v>
      </c>
      <c r="L16" s="209">
        <f t="shared" si="0"/>
        <v>0</v>
      </c>
      <c r="M16" s="203">
        <f t="shared" si="4"/>
        <v>0</v>
      </c>
      <c r="N16" s="209">
        <f t="shared" si="1"/>
        <v>0</v>
      </c>
      <c r="P16" s="180" t="s">
        <v>100</v>
      </c>
      <c r="Q16" s="188">
        <f t="shared" si="2"/>
        <v>0</v>
      </c>
      <c r="R16" s="189">
        <f t="shared" si="2"/>
        <v>0</v>
      </c>
      <c r="S16" s="190">
        <f t="shared" si="3"/>
        <v>0</v>
      </c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</row>
    <row r="17" spans="1:255" s="161" customFormat="1" ht="14" customHeight="1">
      <c r="A17" s="180" t="s">
        <v>96</v>
      </c>
      <c r="B17" s="191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7">
        <v>0</v>
      </c>
      <c r="L17" s="209">
        <f t="shared" si="0"/>
        <v>0</v>
      </c>
      <c r="M17" s="203">
        <f t="shared" si="4"/>
        <v>0</v>
      </c>
      <c r="N17" s="209">
        <f t="shared" si="1"/>
        <v>0</v>
      </c>
      <c r="P17" s="180" t="s">
        <v>101</v>
      </c>
      <c r="Q17" s="188">
        <f t="shared" si="2"/>
        <v>0</v>
      </c>
      <c r="R17" s="189">
        <f t="shared" si="2"/>
        <v>0</v>
      </c>
      <c r="S17" s="190">
        <f t="shared" si="3"/>
        <v>0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</row>
    <row r="18" spans="1:255" s="161" customFormat="1" ht="14" customHeight="1">
      <c r="A18" s="180" t="s">
        <v>95</v>
      </c>
      <c r="B18" s="191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7">
        <v>0</v>
      </c>
      <c r="L18" s="209">
        <f t="shared" si="0"/>
        <v>0</v>
      </c>
      <c r="M18" s="203">
        <f t="shared" si="4"/>
        <v>0</v>
      </c>
      <c r="N18" s="209">
        <f t="shared" si="1"/>
        <v>0</v>
      </c>
      <c r="P18" s="180" t="s">
        <v>102</v>
      </c>
      <c r="Q18" s="188">
        <f t="shared" si="2"/>
        <v>0</v>
      </c>
      <c r="R18" s="189">
        <f t="shared" si="2"/>
        <v>0</v>
      </c>
      <c r="S18" s="190">
        <f t="shared" si="3"/>
        <v>0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</row>
    <row r="19" spans="1:255" s="161" customFormat="1" ht="14" customHeight="1">
      <c r="A19" s="180" t="s">
        <v>94</v>
      </c>
      <c r="B19" s="191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7">
        <v>0</v>
      </c>
      <c r="L19" s="209">
        <f t="shared" si="0"/>
        <v>0</v>
      </c>
      <c r="M19" s="203">
        <f t="shared" si="4"/>
        <v>0</v>
      </c>
      <c r="N19" s="209">
        <f t="shared" si="1"/>
        <v>0</v>
      </c>
      <c r="P19" s="180" t="s">
        <v>103</v>
      </c>
      <c r="Q19" s="188">
        <f t="shared" si="2"/>
        <v>0</v>
      </c>
      <c r="R19" s="189">
        <f t="shared" si="2"/>
        <v>0</v>
      </c>
      <c r="S19" s="190">
        <f t="shared" si="3"/>
        <v>0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</row>
    <row r="20" spans="1:255" s="161" customFormat="1" ht="14" customHeight="1">
      <c r="A20" s="157" t="s">
        <v>93</v>
      </c>
      <c r="B20" s="192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4">
        <v>0</v>
      </c>
      <c r="L20" s="209">
        <f t="shared" si="0"/>
        <v>0</v>
      </c>
      <c r="M20" s="203">
        <f t="shared" si="4"/>
        <v>0</v>
      </c>
      <c r="N20" s="209">
        <f t="shared" si="1"/>
        <v>0</v>
      </c>
      <c r="P20" s="180" t="s">
        <v>104</v>
      </c>
      <c r="Q20" s="195">
        <f t="shared" si="2"/>
        <v>0</v>
      </c>
      <c r="R20" s="196">
        <f t="shared" si="2"/>
        <v>0</v>
      </c>
      <c r="S20" s="197">
        <f t="shared" si="3"/>
        <v>0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</row>
    <row r="21" spans="1:255" s="189" customFormat="1" ht="14" customHeight="1">
      <c r="A21" s="200" t="s">
        <v>471</v>
      </c>
      <c r="B21" s="208">
        <f t="shared" ref="B21:N21" si="5">SUM(B9:B20)</f>
        <v>0</v>
      </c>
      <c r="C21" s="208">
        <f t="shared" si="5"/>
        <v>0</v>
      </c>
      <c r="D21" s="208">
        <f t="shared" si="5"/>
        <v>0</v>
      </c>
      <c r="E21" s="208">
        <f t="shared" si="5"/>
        <v>0</v>
      </c>
      <c r="F21" s="208">
        <f t="shared" si="5"/>
        <v>0</v>
      </c>
      <c r="G21" s="208">
        <f t="shared" si="5"/>
        <v>0</v>
      </c>
      <c r="H21" s="208">
        <f t="shared" si="5"/>
        <v>0</v>
      </c>
      <c r="I21" s="208">
        <f t="shared" si="5"/>
        <v>0</v>
      </c>
      <c r="J21" s="208">
        <f t="shared" si="5"/>
        <v>0</v>
      </c>
      <c r="K21" s="208">
        <f t="shared" si="5"/>
        <v>0</v>
      </c>
      <c r="L21" s="208">
        <f t="shared" si="5"/>
        <v>0</v>
      </c>
      <c r="M21" s="208">
        <f t="shared" si="5"/>
        <v>0</v>
      </c>
      <c r="N21" s="208">
        <f t="shared" si="5"/>
        <v>0</v>
      </c>
      <c r="P21" s="189" t="s">
        <v>311</v>
      </c>
      <c r="Q21" s="196">
        <f>AVERAGE(Q9:Q20)</f>
        <v>0</v>
      </c>
      <c r="R21" s="196">
        <f>AVERAGE(R9:R20)</f>
        <v>0</v>
      </c>
      <c r="S21" s="197">
        <f>AVERAGE(S9:S20)</f>
        <v>0</v>
      </c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</row>
    <row r="22" spans="1:255" s="189" customFormat="1" ht="14" customHeight="1">
      <c r="A22" s="200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M22" s="202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1"/>
      <c r="IP22" s="201"/>
      <c r="IQ22" s="201"/>
      <c r="IR22" s="201"/>
      <c r="IS22" s="201"/>
      <c r="IT22" s="201"/>
      <c r="IU22" s="201"/>
    </row>
    <row r="50" spans="1:12" ht="14" customHeight="1">
      <c r="L50" s="158"/>
    </row>
    <row r="51" spans="1:12" ht="14" customHeight="1">
      <c r="L51" s="158"/>
    </row>
    <row r="56" spans="1:12" ht="14" customHeight="1">
      <c r="A56" s="212" t="s">
        <v>478</v>
      </c>
    </row>
    <row r="57" spans="1:12" ht="14" customHeight="1">
      <c r="A57" s="212" t="s">
        <v>479</v>
      </c>
    </row>
    <row r="91" spans="12:12" ht="14" customHeight="1">
      <c r="L91" s="158"/>
    </row>
    <row r="92" spans="12:12" ht="14" customHeight="1">
      <c r="L92" s="158"/>
    </row>
    <row r="93" spans="12:12" ht="14" customHeight="1">
      <c r="L93" s="158"/>
    </row>
    <row r="94" spans="12:12" ht="14" customHeight="1">
      <c r="L94" s="158"/>
    </row>
    <row r="95" spans="12:12" ht="14" customHeight="1">
      <c r="L95" s="158"/>
    </row>
    <row r="96" spans="12:12" ht="14" customHeight="1">
      <c r="L96" s="158"/>
    </row>
    <row r="107" spans="12:12" ht="14" customHeight="1">
      <c r="L107" s="158"/>
    </row>
    <row r="108" spans="12:12" ht="14" customHeight="1">
      <c r="L108" s="158"/>
    </row>
    <row r="132" spans="12:12" ht="14" customHeight="1">
      <c r="L132" s="158"/>
    </row>
    <row r="133" spans="12:12" ht="14" customHeight="1">
      <c r="L133" s="158"/>
    </row>
  </sheetData>
  <hyperlinks>
    <hyperlink ref="A4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/>
  </sheetViews>
  <sheetFormatPr baseColWidth="10" defaultRowHeight="13" x14ac:dyDescent="0"/>
  <cols>
    <col min="2" max="2" width="24" customWidth="1"/>
  </cols>
  <sheetData>
    <row r="1" spans="1:5" ht="16">
      <c r="A1" s="60" t="s">
        <v>485</v>
      </c>
    </row>
    <row r="2" spans="1:5" ht="14" thickBot="1"/>
    <row r="3" spans="1:5" ht="14" thickTop="1">
      <c r="A3" s="71">
        <f>'h2o calculator'!C314</f>
        <v>22.736679452054791</v>
      </c>
      <c r="B3" s="15" t="s">
        <v>168</v>
      </c>
      <c r="C3" s="15"/>
      <c r="D3" s="62"/>
    </row>
    <row r="4" spans="1:5">
      <c r="A4" s="17">
        <v>14</v>
      </c>
      <c r="B4" s="8" t="s">
        <v>439</v>
      </c>
      <c r="C4" s="8"/>
      <c r="D4" s="48"/>
      <c r="E4" t="s">
        <v>440</v>
      </c>
    </row>
    <row r="5" spans="1:5">
      <c r="A5" s="70">
        <v>0.5</v>
      </c>
      <c r="B5" s="8" t="s">
        <v>441</v>
      </c>
      <c r="C5" s="8"/>
      <c r="D5" s="48"/>
    </row>
    <row r="6" spans="1:5">
      <c r="A6" s="63">
        <f>A5*A4</f>
        <v>7</v>
      </c>
      <c r="B6" s="8" t="s">
        <v>442</v>
      </c>
      <c r="C6" s="8"/>
      <c r="D6" s="48"/>
    </row>
    <row r="7" spans="1:5" ht="14" thickBot="1">
      <c r="A7" s="67">
        <f>A3/A6</f>
        <v>3.2480970645792557</v>
      </c>
      <c r="B7" s="22" t="s">
        <v>318</v>
      </c>
      <c r="C7" s="22"/>
      <c r="D7" s="65"/>
    </row>
    <row r="8" spans="1:5" ht="14" thickTop="1"/>
    <row r="9" spans="1:5">
      <c r="A9" s="2">
        <f>A18+A28+A42</f>
        <v>24</v>
      </c>
      <c r="B9" t="s">
        <v>307</v>
      </c>
    </row>
    <row r="10" spans="1:5" ht="14" thickBot="1"/>
    <row r="11" spans="1:5" ht="14" thickTop="1">
      <c r="A11" s="61" t="s">
        <v>306</v>
      </c>
      <c r="B11" s="15"/>
      <c r="C11" s="62"/>
    </row>
    <row r="12" spans="1:5">
      <c r="A12" s="16">
        <v>7</v>
      </c>
      <c r="B12" s="9" t="s">
        <v>445</v>
      </c>
      <c r="C12" s="48"/>
    </row>
    <row r="13" spans="1:5">
      <c r="A13" s="69">
        <f>3.141*((A12/2)^2)</f>
        <v>38.477249999999998</v>
      </c>
      <c r="B13" s="31" t="s">
        <v>444</v>
      </c>
      <c r="C13" s="48"/>
    </row>
    <row r="14" spans="1:5">
      <c r="A14" s="17">
        <v>8</v>
      </c>
      <c r="B14" s="7" t="s">
        <v>443</v>
      </c>
      <c r="C14" s="48"/>
    </row>
    <row r="15" spans="1:5">
      <c r="A15" s="69">
        <f>A13*A14</f>
        <v>307.81799999999998</v>
      </c>
      <c r="B15" s="31" t="s">
        <v>155</v>
      </c>
      <c r="C15" s="48"/>
    </row>
    <row r="16" spans="1:5">
      <c r="A16" s="69">
        <f>'h2o calculator'!C310</f>
        <v>0</v>
      </c>
      <c r="B16" s="31" t="s">
        <v>156</v>
      </c>
      <c r="C16" s="48"/>
    </row>
    <row r="17" spans="1:3">
      <c r="A17" s="66">
        <f>A16/A15</f>
        <v>0</v>
      </c>
      <c r="B17" s="31" t="s">
        <v>165</v>
      </c>
      <c r="C17" s="48"/>
    </row>
    <row r="18" spans="1:3">
      <c r="A18" s="17">
        <v>8</v>
      </c>
      <c r="B18" s="31" t="s">
        <v>157</v>
      </c>
      <c r="C18" s="48"/>
    </row>
    <row r="19" spans="1:3">
      <c r="A19" s="66">
        <f>A16/A18</f>
        <v>0</v>
      </c>
      <c r="B19" s="31" t="s">
        <v>164</v>
      </c>
      <c r="C19" s="48"/>
    </row>
    <row r="20" spans="1:3">
      <c r="A20" s="17">
        <v>20</v>
      </c>
      <c r="B20" s="31" t="s">
        <v>158</v>
      </c>
      <c r="C20" s="48"/>
    </row>
    <row r="21" spans="1:3">
      <c r="A21" s="63">
        <v>10</v>
      </c>
      <c r="B21" s="31" t="s">
        <v>159</v>
      </c>
      <c r="C21" s="48"/>
    </row>
    <row r="22" spans="1:3">
      <c r="A22" s="63">
        <f>A21*A20</f>
        <v>200</v>
      </c>
      <c r="B22" s="31" t="s">
        <v>166</v>
      </c>
      <c r="C22" s="48"/>
    </row>
    <row r="23" spans="1:3" ht="14" thickBot="1">
      <c r="A23" s="72">
        <f>A22/A15</f>
        <v>0.64973458342267187</v>
      </c>
      <c r="B23" s="68" t="s">
        <v>446</v>
      </c>
      <c r="C23" s="65"/>
    </row>
    <row r="24" spans="1:3" ht="15" thickTop="1" thickBot="1"/>
    <row r="25" spans="1:3" ht="14" thickTop="1">
      <c r="A25" s="61" t="s">
        <v>447</v>
      </c>
      <c r="B25" s="15"/>
      <c r="C25" s="62"/>
    </row>
    <row r="26" spans="1:3">
      <c r="A26" s="16">
        <v>6</v>
      </c>
      <c r="B26" s="9" t="s">
        <v>445</v>
      </c>
      <c r="C26" s="48"/>
    </row>
    <row r="27" spans="1:3">
      <c r="A27" s="69">
        <f>3.141*((A26/2)^2)</f>
        <v>28.268999999999998</v>
      </c>
      <c r="B27" s="31" t="s">
        <v>444</v>
      </c>
      <c r="C27" s="48"/>
    </row>
    <row r="28" spans="1:3">
      <c r="A28" s="17">
        <v>8</v>
      </c>
      <c r="B28" s="7" t="s">
        <v>443</v>
      </c>
      <c r="C28" s="48"/>
    </row>
    <row r="29" spans="1:3">
      <c r="A29" s="69">
        <f>A27*A28</f>
        <v>226.15199999999999</v>
      </c>
      <c r="B29" s="31" t="s">
        <v>155</v>
      </c>
      <c r="C29" s="48"/>
    </row>
    <row r="30" spans="1:3">
      <c r="A30" s="69">
        <f>'h2o calculator'!C309</f>
        <v>34.788427397260271</v>
      </c>
      <c r="B30" s="31" t="s">
        <v>156</v>
      </c>
      <c r="C30" s="48"/>
    </row>
    <row r="31" spans="1:3">
      <c r="A31" s="66">
        <f>A30/A29</f>
        <v>0.15382763538354854</v>
      </c>
      <c r="B31" s="31" t="s">
        <v>165</v>
      </c>
      <c r="C31" s="48"/>
    </row>
    <row r="32" spans="1:3">
      <c r="A32" s="17">
        <v>12</v>
      </c>
      <c r="B32" s="31" t="s">
        <v>157</v>
      </c>
      <c r="C32" s="48"/>
    </row>
    <row r="33" spans="1:4">
      <c r="A33" s="66">
        <f>A30/A32</f>
        <v>2.8990356164383559</v>
      </c>
      <c r="B33" s="31" t="s">
        <v>164</v>
      </c>
      <c r="C33" s="48"/>
    </row>
    <row r="34" spans="1:4">
      <c r="A34" s="17">
        <v>15</v>
      </c>
      <c r="B34" s="31" t="s">
        <v>158</v>
      </c>
      <c r="C34" s="48"/>
    </row>
    <row r="35" spans="1:4">
      <c r="A35" s="63">
        <v>15</v>
      </c>
      <c r="B35" s="31" t="s">
        <v>159</v>
      </c>
      <c r="C35" s="48"/>
    </row>
    <row r="36" spans="1:4">
      <c r="A36" s="63">
        <f>A35*A34</f>
        <v>225</v>
      </c>
      <c r="B36" s="31" t="s">
        <v>166</v>
      </c>
      <c r="C36" s="48"/>
    </row>
    <row r="37" spans="1:4" ht="14" thickBot="1">
      <c r="A37" s="72">
        <f>A36/A29</f>
        <v>0.99490608086596632</v>
      </c>
      <c r="B37" s="68" t="s">
        <v>446</v>
      </c>
      <c r="C37" s="65"/>
    </row>
    <row r="38" spans="1:4" ht="15" thickTop="1" thickBot="1"/>
    <row r="39" spans="1:4" ht="14" thickTop="1">
      <c r="A39" s="61" t="s">
        <v>151</v>
      </c>
      <c r="B39" s="15"/>
      <c r="C39" s="62"/>
    </row>
    <row r="40" spans="1:4">
      <c r="A40" s="16">
        <f>16/12</f>
        <v>1.3333333333333333</v>
      </c>
      <c r="B40" s="9" t="s">
        <v>152</v>
      </c>
      <c r="C40" s="48"/>
      <c r="D40" t="s">
        <v>160</v>
      </c>
    </row>
    <row r="41" spans="1:4">
      <c r="A41" s="16">
        <v>5</v>
      </c>
      <c r="B41" s="7" t="s">
        <v>153</v>
      </c>
      <c r="C41" s="48"/>
    </row>
    <row r="42" spans="1:4">
      <c r="A42" s="17">
        <v>8</v>
      </c>
      <c r="B42" s="7" t="s">
        <v>154</v>
      </c>
      <c r="C42" s="48"/>
    </row>
    <row r="43" spans="1:4">
      <c r="A43" s="69">
        <f>A42*A41*A40</f>
        <v>53.333333333333329</v>
      </c>
      <c r="B43" s="31" t="s">
        <v>155</v>
      </c>
      <c r="C43" s="48"/>
    </row>
    <row r="44" spans="1:4">
      <c r="A44" s="69">
        <f>'h2o calculator'!C311</f>
        <v>0</v>
      </c>
      <c r="B44" s="31" t="s">
        <v>156</v>
      </c>
      <c r="C44" s="48"/>
    </row>
    <row r="45" spans="1:4">
      <c r="A45" s="66">
        <f>A44/A43</f>
        <v>0</v>
      </c>
      <c r="B45" s="31" t="s">
        <v>165</v>
      </c>
      <c r="C45" s="48"/>
    </row>
    <row r="46" spans="1:4">
      <c r="A46" s="17">
        <v>8</v>
      </c>
      <c r="B46" s="31" t="s">
        <v>157</v>
      </c>
      <c r="C46" s="48"/>
    </row>
    <row r="47" spans="1:4">
      <c r="A47" s="66">
        <f>A44/A46</f>
        <v>0</v>
      </c>
      <c r="B47" s="31" t="s">
        <v>164</v>
      </c>
      <c r="C47" s="48"/>
    </row>
    <row r="48" spans="1:4">
      <c r="A48" s="17">
        <v>90</v>
      </c>
      <c r="B48" s="31" t="s">
        <v>158</v>
      </c>
      <c r="C48" s="48"/>
    </row>
    <row r="49" spans="1:10">
      <c r="A49" s="63">
        <v>2</v>
      </c>
      <c r="B49" s="31" t="s">
        <v>159</v>
      </c>
      <c r="C49" s="48"/>
    </row>
    <row r="50" spans="1:10">
      <c r="A50" s="63">
        <f>A49*A48</f>
        <v>180</v>
      </c>
      <c r="B50" s="31" t="s">
        <v>166</v>
      </c>
      <c r="C50" s="48"/>
    </row>
    <row r="51" spans="1:10">
      <c r="A51" s="66">
        <f>A50/A43</f>
        <v>3.3750000000000004</v>
      </c>
      <c r="B51" s="31" t="s">
        <v>308</v>
      </c>
      <c r="C51" s="48"/>
    </row>
    <row r="52" spans="1:10">
      <c r="A52" s="16">
        <v>0.8</v>
      </c>
      <c r="B52" s="9" t="s">
        <v>152</v>
      </c>
      <c r="C52" s="48" t="s">
        <v>238</v>
      </c>
    </row>
    <row r="53" spans="1:10">
      <c r="A53" s="16">
        <v>0.8</v>
      </c>
      <c r="B53" s="9" t="s">
        <v>161</v>
      </c>
      <c r="C53" s="48" t="s">
        <v>238</v>
      </c>
    </row>
    <row r="54" spans="1:10">
      <c r="A54" s="69">
        <f>A53*A52*A42*A41</f>
        <v>25.600000000000005</v>
      </c>
      <c r="B54" s="31" t="s">
        <v>162</v>
      </c>
      <c r="C54" s="48"/>
    </row>
    <row r="55" spans="1:10" ht="14" thickBot="1">
      <c r="A55" s="67">
        <f>A54*7.481</f>
        <v>191.51360000000003</v>
      </c>
      <c r="B55" s="68" t="s">
        <v>163</v>
      </c>
      <c r="C55" s="65"/>
      <c r="D55" t="s">
        <v>167</v>
      </c>
    </row>
    <row r="56" spans="1:10" ht="14" thickTop="1"/>
    <row r="61" spans="1:10" ht="16">
      <c r="A61" s="60" t="s">
        <v>173</v>
      </c>
    </row>
    <row r="63" spans="1:10" ht="57">
      <c r="B63" s="122"/>
      <c r="C63" s="123" t="s">
        <v>172</v>
      </c>
      <c r="D63" s="123" t="s">
        <v>172</v>
      </c>
      <c r="E63" s="123" t="s">
        <v>172</v>
      </c>
      <c r="F63" s="123" t="s">
        <v>172</v>
      </c>
      <c r="G63" s="123" t="s">
        <v>172</v>
      </c>
      <c r="H63" s="123" t="s">
        <v>172</v>
      </c>
      <c r="I63" s="123" t="s">
        <v>172</v>
      </c>
      <c r="J63" s="123" t="s">
        <v>172</v>
      </c>
    </row>
    <row r="64" spans="1:10">
      <c r="B64" s="124" t="s">
        <v>22</v>
      </c>
      <c r="C64" s="58"/>
      <c r="D64" s="58"/>
      <c r="E64" s="58"/>
      <c r="F64" s="58"/>
      <c r="G64" s="58"/>
      <c r="H64" s="58"/>
      <c r="I64" s="58"/>
      <c r="J64" s="58"/>
    </row>
    <row r="65" spans="1:10">
      <c r="B65" s="117" t="s">
        <v>23</v>
      </c>
      <c r="C65" s="58">
        <v>100</v>
      </c>
      <c r="D65" s="58">
        <v>100</v>
      </c>
      <c r="E65" s="58">
        <v>75</v>
      </c>
      <c r="F65" s="58">
        <v>100</v>
      </c>
      <c r="G65" s="58">
        <v>75</v>
      </c>
      <c r="H65" s="58">
        <v>75</v>
      </c>
      <c r="I65" s="58">
        <v>75</v>
      </c>
      <c r="J65" s="58">
        <v>75</v>
      </c>
    </row>
    <row r="66" spans="1:10">
      <c r="B66" s="125" t="s">
        <v>24</v>
      </c>
      <c r="C66" s="58">
        <v>140</v>
      </c>
      <c r="D66" s="58">
        <v>140</v>
      </c>
      <c r="E66" s="58">
        <v>140</v>
      </c>
      <c r="F66" s="58">
        <v>140</v>
      </c>
      <c r="G66" s="58">
        <v>140</v>
      </c>
      <c r="H66" s="58">
        <v>140</v>
      </c>
      <c r="I66" s="58">
        <v>140</v>
      </c>
      <c r="J66" s="58">
        <v>140</v>
      </c>
    </row>
    <row r="67" spans="1:10">
      <c r="B67" t="s">
        <v>25</v>
      </c>
      <c r="C67" s="141">
        <f>60/38</f>
        <v>1.5789473684210527</v>
      </c>
      <c r="D67" s="141">
        <f>60/38</f>
        <v>1.5789473684210527</v>
      </c>
      <c r="E67" s="141">
        <f>60/38</f>
        <v>1.5789473684210527</v>
      </c>
      <c r="F67" s="126">
        <v>6</v>
      </c>
      <c r="G67" s="126">
        <v>5</v>
      </c>
      <c r="H67" s="126">
        <v>5</v>
      </c>
      <c r="I67" s="126">
        <v>4</v>
      </c>
      <c r="J67" s="126">
        <v>4</v>
      </c>
    </row>
    <row r="68" spans="1:10" ht="15">
      <c r="B68" t="s">
        <v>26</v>
      </c>
      <c r="C68" s="127">
        <v>1</v>
      </c>
      <c r="D68" s="127">
        <v>0.75</v>
      </c>
      <c r="E68" s="127">
        <v>0.5</v>
      </c>
      <c r="F68" s="127">
        <v>1</v>
      </c>
      <c r="G68" s="127">
        <v>1</v>
      </c>
      <c r="H68" s="127">
        <v>0.75</v>
      </c>
      <c r="I68" s="127">
        <v>1</v>
      </c>
      <c r="J68" s="127">
        <v>0.75</v>
      </c>
    </row>
    <row r="69" spans="1:10">
      <c r="C69" s="58"/>
      <c r="D69" s="58"/>
      <c r="E69" s="58"/>
      <c r="F69" s="58"/>
      <c r="G69" s="58"/>
      <c r="H69" s="58"/>
      <c r="I69" s="58"/>
      <c r="J69" s="58"/>
    </row>
    <row r="70" spans="1:10">
      <c r="B70" s="124" t="s">
        <v>27</v>
      </c>
      <c r="C70" s="58"/>
      <c r="D70" s="58"/>
      <c r="E70" s="58"/>
      <c r="F70" s="58"/>
      <c r="G70" s="58"/>
      <c r="H70" s="58"/>
      <c r="I70" s="58"/>
      <c r="J70" s="58"/>
    </row>
    <row r="71" spans="1:10">
      <c r="B71" s="31" t="s">
        <v>28</v>
      </c>
      <c r="C71" s="128">
        <f t="shared" ref="C71:J71" si="0">POWER(100/C66,1.852)*POWER(C67,1.852)/POWER(C68,4.8655)*0.2083</f>
        <v>0.26027774932685349</v>
      </c>
      <c r="D71" s="128">
        <f t="shared" si="0"/>
        <v>1.0551797926677093</v>
      </c>
      <c r="E71" s="128">
        <f t="shared" si="0"/>
        <v>7.5874961995220831</v>
      </c>
      <c r="F71" s="128">
        <f t="shared" si="0"/>
        <v>3.0845815996918753</v>
      </c>
      <c r="G71" s="128">
        <f t="shared" si="0"/>
        <v>2.2006582076005459</v>
      </c>
      <c r="H71" s="128">
        <f t="shared" si="0"/>
        <v>8.9215850268951957</v>
      </c>
      <c r="I71" s="128">
        <f t="shared" si="0"/>
        <v>1.4557112952100486</v>
      </c>
      <c r="J71" s="128">
        <f t="shared" si="0"/>
        <v>5.9015307556499801</v>
      </c>
    </row>
    <row r="72" spans="1:10">
      <c r="B72" s="31" t="s">
        <v>29</v>
      </c>
      <c r="C72" s="128">
        <f t="shared" ref="C72:J72" si="1">+C71*0.43</f>
        <v>0.111919432210547</v>
      </c>
      <c r="D72" s="128">
        <f t="shared" si="1"/>
        <v>0.45372731084711498</v>
      </c>
      <c r="E72" s="128">
        <f t="shared" si="1"/>
        <v>3.2626233657944956</v>
      </c>
      <c r="F72" s="128">
        <f t="shared" si="1"/>
        <v>1.3263700878675064</v>
      </c>
      <c r="G72" s="128">
        <f t="shared" si="1"/>
        <v>0.94628302926823471</v>
      </c>
      <c r="H72" s="128">
        <f t="shared" si="1"/>
        <v>3.8362815615649342</v>
      </c>
      <c r="I72" s="128">
        <f t="shared" si="1"/>
        <v>0.62595585694032085</v>
      </c>
      <c r="J72" s="128">
        <f t="shared" si="1"/>
        <v>2.5376582249294914</v>
      </c>
    </row>
    <row r="73" spans="1:10">
      <c r="B73" s="31"/>
      <c r="C73" s="128"/>
      <c r="D73" s="128"/>
      <c r="E73" s="128"/>
      <c r="F73" s="128"/>
      <c r="G73" s="128"/>
      <c r="H73" s="128"/>
      <c r="I73" s="128"/>
      <c r="J73" s="128"/>
    </row>
    <row r="74" spans="1:10">
      <c r="B74" s="129" t="s">
        <v>30</v>
      </c>
      <c r="C74" s="128">
        <f t="shared" ref="C74:J74" si="2">+C71*C65/100</f>
        <v>0.26027774932685349</v>
      </c>
      <c r="D74" s="128">
        <f t="shared" si="2"/>
        <v>1.0551797926677093</v>
      </c>
      <c r="E74" s="133">
        <f t="shared" si="2"/>
        <v>5.6906221496415625</v>
      </c>
      <c r="F74" s="133">
        <f t="shared" si="2"/>
        <v>3.0845815996918753</v>
      </c>
      <c r="G74" s="128">
        <f t="shared" si="2"/>
        <v>1.6504936557004095</v>
      </c>
      <c r="H74" s="133">
        <f t="shared" si="2"/>
        <v>6.6911887701713963</v>
      </c>
      <c r="I74" s="128">
        <f t="shared" si="2"/>
        <v>1.0917834714075365</v>
      </c>
      <c r="J74" s="133">
        <f t="shared" si="2"/>
        <v>4.4261480667374853</v>
      </c>
    </row>
    <row r="75" spans="1:10">
      <c r="B75" s="130" t="s">
        <v>169</v>
      </c>
      <c r="C75" s="131">
        <f t="shared" ref="C75:J75" si="3">+C74*0.43</f>
        <v>0.111919432210547</v>
      </c>
      <c r="D75" s="131">
        <f t="shared" si="3"/>
        <v>0.45372731084711498</v>
      </c>
      <c r="E75" s="131">
        <f t="shared" si="3"/>
        <v>2.4469675243458719</v>
      </c>
      <c r="F75" s="131">
        <f t="shared" si="3"/>
        <v>1.3263700878675064</v>
      </c>
      <c r="G75" s="131">
        <f t="shared" si="3"/>
        <v>0.70971227195117603</v>
      </c>
      <c r="H75" s="131">
        <f t="shared" si="3"/>
        <v>2.8772111711737005</v>
      </c>
      <c r="I75" s="131">
        <f t="shared" si="3"/>
        <v>0.46946689270524067</v>
      </c>
      <c r="J75" s="131">
        <f t="shared" si="3"/>
        <v>1.9032436686971186</v>
      </c>
    </row>
    <row r="76" spans="1:10">
      <c r="C76" s="58"/>
      <c r="D76" s="58"/>
      <c r="E76" s="58"/>
      <c r="F76" s="58"/>
      <c r="G76" s="58"/>
      <c r="H76" s="58"/>
      <c r="I76" s="58"/>
      <c r="J76" s="58"/>
    </row>
    <row r="77" spans="1:10">
      <c r="B77" s="124" t="s">
        <v>170</v>
      </c>
      <c r="C77" s="58"/>
      <c r="D77" s="58"/>
      <c r="E77" s="58"/>
      <c r="F77" s="58"/>
      <c r="G77" s="58"/>
      <c r="H77" s="58"/>
      <c r="I77" s="58"/>
      <c r="J77" s="58"/>
    </row>
    <row r="78" spans="1:10">
      <c r="B78" s="9" t="s">
        <v>171</v>
      </c>
      <c r="C78" s="132">
        <f t="shared" ref="C78:J78" si="4">0.408709*C67/POWER(C68,2)</f>
        <v>0.64532999999999996</v>
      </c>
      <c r="D78" s="132">
        <f t="shared" si="4"/>
        <v>1.1472533333333332</v>
      </c>
      <c r="E78" s="132">
        <f t="shared" si="4"/>
        <v>2.5813199999999998</v>
      </c>
      <c r="F78" s="132">
        <f t="shared" si="4"/>
        <v>2.4522539999999999</v>
      </c>
      <c r="G78" s="132">
        <f t="shared" si="4"/>
        <v>2.0435449999999999</v>
      </c>
      <c r="H78" s="132">
        <f t="shared" si="4"/>
        <v>3.6329688888888887</v>
      </c>
      <c r="I78" s="132">
        <f t="shared" si="4"/>
        <v>1.634836</v>
      </c>
      <c r="J78" s="132">
        <f t="shared" si="4"/>
        <v>2.9063751111111111</v>
      </c>
    </row>
    <row r="80" spans="1:10">
      <c r="A80" t="s">
        <v>175</v>
      </c>
      <c r="C80" t="s">
        <v>305</v>
      </c>
    </row>
    <row r="81" spans="1:5">
      <c r="A81">
        <v>25</v>
      </c>
      <c r="B81" t="s">
        <v>174</v>
      </c>
      <c r="C81">
        <v>1</v>
      </c>
      <c r="D81" t="s">
        <v>251</v>
      </c>
    </row>
    <row r="82" spans="1:5">
      <c r="A82">
        <v>50</v>
      </c>
      <c r="B82" t="s">
        <v>176</v>
      </c>
      <c r="C82">
        <v>1</v>
      </c>
      <c r="D82" t="s">
        <v>251</v>
      </c>
    </row>
    <row r="83" spans="1:5">
      <c r="A83">
        <f>200-(A82+A81)</f>
        <v>125</v>
      </c>
      <c r="B83" t="s">
        <v>304</v>
      </c>
    </row>
    <row r="85" spans="1:5">
      <c r="C85" t="s">
        <v>399</v>
      </c>
      <c r="D85" t="s">
        <v>400</v>
      </c>
      <c r="E85" t="s">
        <v>401</v>
      </c>
    </row>
    <row r="86" spans="1:5">
      <c r="A86">
        <v>100</v>
      </c>
      <c r="B86" t="s">
        <v>379</v>
      </c>
      <c r="C86">
        <f>$A86*0.041</f>
        <v>4.1000000000000005</v>
      </c>
      <c r="D86">
        <f>$A86*0.023</f>
        <v>2.2999999999999998</v>
      </c>
      <c r="E86">
        <f>$A86*0.01</f>
        <v>1</v>
      </c>
    </row>
  </sheetData>
  <phoneticPr fontId="30" type="noConversion"/>
  <hyperlinks>
    <hyperlink ref="B66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baseColWidth="10" defaultRowHeight="13" x14ac:dyDescent="0"/>
  <cols>
    <col min="1" max="1" width="13.7109375" customWidth="1"/>
    <col min="5" max="5" width="11.85546875" bestFit="1" customWidth="1"/>
  </cols>
  <sheetData>
    <row r="1" spans="1:7" ht="16">
      <c r="A1" s="60" t="s">
        <v>21</v>
      </c>
    </row>
    <row r="2" spans="1:7" ht="14" thickBot="1"/>
    <row r="3" spans="1:7" ht="14" thickTop="1">
      <c r="A3" s="61" t="s">
        <v>150</v>
      </c>
      <c r="B3" s="15"/>
      <c r="C3" s="62"/>
    </row>
    <row r="4" spans="1:7">
      <c r="A4" s="118" t="s">
        <v>420</v>
      </c>
      <c r="B4" s="8" t="s">
        <v>6</v>
      </c>
      <c r="C4" s="48" t="s">
        <v>421</v>
      </c>
    </row>
    <row r="5" spans="1:7">
      <c r="A5" s="63">
        <f>53/12</f>
        <v>4.416666666666667</v>
      </c>
      <c r="B5" s="8">
        <f>87/12</f>
        <v>7.25</v>
      </c>
      <c r="C5" s="48" t="s">
        <v>20</v>
      </c>
      <c r="D5" t="s">
        <v>148</v>
      </c>
    </row>
    <row r="6" spans="1:7">
      <c r="A6" s="63"/>
      <c r="B6" s="8">
        <f>B5/12.5</f>
        <v>0.57999999999999996</v>
      </c>
      <c r="C6" s="48" t="s">
        <v>422</v>
      </c>
    </row>
    <row r="7" spans="1:7" ht="14" thickBot="1">
      <c r="A7" s="64"/>
      <c r="B7" s="22"/>
      <c r="C7" s="65"/>
    </row>
    <row r="8" spans="1:7" ht="14" thickTop="1"/>
    <row r="10" spans="1:7">
      <c r="A10" s="146" t="s">
        <v>423</v>
      </c>
    </row>
    <row r="11" spans="1:7">
      <c r="B11" t="s">
        <v>432</v>
      </c>
      <c r="C11" t="s">
        <v>433</v>
      </c>
      <c r="D11" t="s">
        <v>434</v>
      </c>
    </row>
    <row r="12" spans="1:7">
      <c r="A12" t="s">
        <v>424</v>
      </c>
      <c r="B12" s="55">
        <v>10</v>
      </c>
      <c r="C12" s="55">
        <v>45</v>
      </c>
      <c r="D12">
        <f t="shared" ref="D12:D17" si="0">B12*C12</f>
        <v>450</v>
      </c>
      <c r="G12" t="s">
        <v>430</v>
      </c>
    </row>
    <row r="13" spans="1:7">
      <c r="A13" t="s">
        <v>425</v>
      </c>
      <c r="B13" s="55">
        <v>8</v>
      </c>
      <c r="C13" s="55">
        <v>40</v>
      </c>
      <c r="D13">
        <f t="shared" si="0"/>
        <v>320</v>
      </c>
      <c r="G13" t="s">
        <v>430</v>
      </c>
    </row>
    <row r="14" spans="1:7">
      <c r="A14" t="s">
        <v>426</v>
      </c>
      <c r="B14" s="55">
        <v>0</v>
      </c>
      <c r="C14" s="55">
        <v>0</v>
      </c>
      <c r="D14">
        <f t="shared" si="0"/>
        <v>0</v>
      </c>
    </row>
    <row r="15" spans="1:7">
      <c r="A15" t="s">
        <v>427</v>
      </c>
      <c r="B15" s="55">
        <v>0</v>
      </c>
      <c r="C15" s="55">
        <v>0</v>
      </c>
      <c r="D15">
        <f t="shared" si="0"/>
        <v>0</v>
      </c>
    </row>
    <row r="16" spans="1:7">
      <c r="A16" t="s">
        <v>428</v>
      </c>
      <c r="B16" s="55">
        <v>0</v>
      </c>
      <c r="C16" s="55">
        <v>0</v>
      </c>
      <c r="D16">
        <f t="shared" si="0"/>
        <v>0</v>
      </c>
    </row>
    <row r="17" spans="1:4">
      <c r="A17" t="s">
        <v>429</v>
      </c>
      <c r="B17" s="55">
        <v>0</v>
      </c>
      <c r="C17" s="55">
        <v>0</v>
      </c>
      <c r="D17">
        <f t="shared" si="0"/>
        <v>0</v>
      </c>
    </row>
    <row r="19" spans="1:4">
      <c r="A19" s="146" t="s">
        <v>431</v>
      </c>
    </row>
    <row r="20" spans="1:4">
      <c r="A20" s="146"/>
    </row>
    <row r="21" spans="1:4">
      <c r="A21" s="146"/>
      <c r="B21" t="s">
        <v>436</v>
      </c>
      <c r="C21" t="s">
        <v>437</v>
      </c>
    </row>
    <row r="22" spans="1:4">
      <c r="B22" s="55">
        <v>1</v>
      </c>
      <c r="C22" s="55">
        <v>18</v>
      </c>
      <c r="D22" t="s">
        <v>250</v>
      </c>
    </row>
    <row r="23" spans="1:4">
      <c r="B23" s="147"/>
      <c r="C23" s="147"/>
    </row>
    <row r="24" spans="1:4">
      <c r="B24" t="s">
        <v>435</v>
      </c>
      <c r="C24" t="s">
        <v>438</v>
      </c>
    </row>
    <row r="25" spans="1:4">
      <c r="A25" t="s">
        <v>235</v>
      </c>
      <c r="B25" s="5">
        <f>(B$22*$D25)*0.62</f>
        <v>477.4</v>
      </c>
      <c r="C25" s="5">
        <f>(C$22*$D25)*0.62</f>
        <v>8593.2000000000007</v>
      </c>
      <c r="D25">
        <f>D13+D12</f>
        <v>770</v>
      </c>
    </row>
  </sheetData>
  <phoneticPr fontId="3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baseColWidth="10" defaultRowHeight="13" x14ac:dyDescent="0"/>
  <cols>
    <col min="1" max="1" width="5.5703125" style="37" customWidth="1"/>
    <col min="2" max="2" width="27.140625" customWidth="1"/>
    <col min="3" max="3" width="7.5703125" style="34" customWidth="1"/>
    <col min="4" max="4" width="7.5703125" customWidth="1"/>
    <col min="5" max="5" width="7.5703125" style="32" customWidth="1"/>
  </cols>
  <sheetData>
    <row r="1" spans="1:8" ht="18">
      <c r="A1" s="38" t="s">
        <v>105</v>
      </c>
    </row>
    <row r="2" spans="1:8">
      <c r="A2" s="37">
        <v>2</v>
      </c>
      <c r="B2" s="51" t="s">
        <v>367</v>
      </c>
    </row>
    <row r="3" spans="1:8" ht="14">
      <c r="A3" s="37">
        <v>3</v>
      </c>
      <c r="B3" s="29"/>
      <c r="C3" s="34" t="s">
        <v>334</v>
      </c>
      <c r="D3" t="s">
        <v>390</v>
      </c>
      <c r="E3" s="32" t="s">
        <v>335</v>
      </c>
    </row>
    <row r="4" spans="1:8" ht="14">
      <c r="A4" s="37">
        <v>4</v>
      </c>
      <c r="B4" s="28"/>
      <c r="C4" s="34" t="s">
        <v>374</v>
      </c>
      <c r="D4" s="30"/>
      <c r="E4" s="32" t="s">
        <v>374</v>
      </c>
      <c r="H4" t="s">
        <v>388</v>
      </c>
    </row>
    <row r="5" spans="1:8" ht="14">
      <c r="A5" s="37">
        <v>5</v>
      </c>
      <c r="B5" s="29" t="s">
        <v>326</v>
      </c>
      <c r="C5" s="34">
        <f>235</f>
        <v>235</v>
      </c>
      <c r="D5" s="25">
        <f>(3*2*4*365)/1000</f>
        <v>8.76</v>
      </c>
    </row>
    <row r="6" spans="1:8" ht="14">
      <c r="A6" s="37">
        <v>6</v>
      </c>
      <c r="B6" s="29"/>
      <c r="D6" s="25"/>
    </row>
    <row r="7" spans="1:8" ht="14">
      <c r="A7" s="37">
        <v>7</v>
      </c>
      <c r="B7" s="28" t="s">
        <v>331</v>
      </c>
      <c r="D7" s="30" t="e">
        <f>D8+D9+D10</f>
        <v>#REF!</v>
      </c>
    </row>
    <row r="8" spans="1:8" ht="14">
      <c r="A8" s="37">
        <v>8</v>
      </c>
      <c r="B8" s="29" t="s">
        <v>342</v>
      </c>
      <c r="C8" s="34">
        <v>232</v>
      </c>
      <c r="D8" s="2" t="e">
        <f>'h2o calculator'!#REF!</f>
        <v>#REF!</v>
      </c>
    </row>
    <row r="9" spans="1:8" ht="14">
      <c r="A9" s="37">
        <v>9</v>
      </c>
      <c r="B9" s="29" t="s">
        <v>343</v>
      </c>
      <c r="C9" s="34">
        <v>229</v>
      </c>
      <c r="D9" s="2" t="e">
        <f>'h2o calculator'!#REF!+'h2o calculator'!#REF!</f>
        <v>#REF!</v>
      </c>
    </row>
    <row r="10" spans="1:8" ht="14">
      <c r="A10" s="37">
        <v>10</v>
      </c>
      <c r="B10" s="29" t="s">
        <v>344</v>
      </c>
      <c r="C10" s="34">
        <v>216</v>
      </c>
      <c r="D10" s="2" t="e">
        <f>'h2o calculator'!#REF!</f>
        <v>#REF!</v>
      </c>
      <c r="H10" t="s">
        <v>389</v>
      </c>
    </row>
    <row r="11" spans="1:8" ht="14">
      <c r="A11" s="37">
        <v>11</v>
      </c>
      <c r="B11" s="29"/>
    </row>
    <row r="12" spans="1:8" ht="14">
      <c r="A12" s="37">
        <v>12</v>
      </c>
      <c r="B12" s="28" t="s">
        <v>332</v>
      </c>
      <c r="D12" s="30" t="e">
        <f>D13+D14</f>
        <v>#REF!</v>
      </c>
    </row>
    <row r="13" spans="1:8" ht="14">
      <c r="A13" s="37">
        <v>13</v>
      </c>
      <c r="B13" s="29" t="s">
        <v>325</v>
      </c>
      <c r="C13" s="34">
        <v>227</v>
      </c>
      <c r="D13" s="6" t="e">
        <f>'h2o calculator'!#REF!</f>
        <v>#REF!</v>
      </c>
    </row>
    <row r="14" spans="1:8" ht="14">
      <c r="A14" s="37">
        <v>14</v>
      </c>
      <c r="B14" s="29" t="s">
        <v>324</v>
      </c>
      <c r="C14" s="34">
        <v>219</v>
      </c>
    </row>
    <row r="15" spans="1:8" ht="14">
      <c r="A15" s="37">
        <v>15</v>
      </c>
      <c r="B15" s="29" t="s">
        <v>217</v>
      </c>
      <c r="C15" s="34">
        <v>194</v>
      </c>
      <c r="D15" s="6" t="e">
        <f>'h2o calculator'!#REF!</f>
        <v>#REF!</v>
      </c>
    </row>
    <row r="16" spans="1:8" ht="14">
      <c r="A16" s="37">
        <v>16</v>
      </c>
      <c r="B16" s="29" t="s">
        <v>218</v>
      </c>
      <c r="C16" s="35">
        <v>188</v>
      </c>
      <c r="H16" t="s">
        <v>238</v>
      </c>
    </row>
    <row r="17" spans="1:8" ht="14">
      <c r="A17" s="37">
        <v>17</v>
      </c>
      <c r="B17" s="29"/>
    </row>
    <row r="18" spans="1:8" ht="14">
      <c r="A18" s="37">
        <v>18</v>
      </c>
      <c r="B18" s="29" t="s">
        <v>448</v>
      </c>
      <c r="C18" s="35">
        <f>232-7</f>
        <v>225</v>
      </c>
      <c r="H18" t="s">
        <v>337</v>
      </c>
    </row>
    <row r="19" spans="1:8" ht="14">
      <c r="A19" s="37">
        <v>19</v>
      </c>
      <c r="B19" s="29" t="s">
        <v>449</v>
      </c>
      <c r="C19" s="35">
        <f>C18-7</f>
        <v>218</v>
      </c>
    </row>
    <row r="20" spans="1:8" ht="14">
      <c r="A20" s="37">
        <v>20</v>
      </c>
      <c r="B20" s="29"/>
    </row>
    <row r="21" spans="1:8" ht="14">
      <c r="A21" s="37">
        <v>21</v>
      </c>
      <c r="B21" s="28" t="s">
        <v>333</v>
      </c>
      <c r="D21" s="30">
        <f>D22+D23+D24</f>
        <v>134.25</v>
      </c>
    </row>
    <row r="22" spans="1:8" ht="14">
      <c r="A22" s="37">
        <v>22</v>
      </c>
      <c r="B22" s="29" t="s">
        <v>340</v>
      </c>
      <c r="C22" s="34">
        <f>C19+3</f>
        <v>221</v>
      </c>
      <c r="D22" s="5">
        <f>3*0.35*52</f>
        <v>54.599999999999994</v>
      </c>
    </row>
    <row r="23" spans="1:8" ht="14">
      <c r="A23" s="37">
        <v>23</v>
      </c>
      <c r="B23" s="29" t="s">
        <v>341</v>
      </c>
      <c r="C23" s="34">
        <f>C18+2</f>
        <v>227</v>
      </c>
      <c r="D23" s="5">
        <f>3*0.03*365</f>
        <v>32.85</v>
      </c>
    </row>
    <row r="24" spans="1:8" ht="14">
      <c r="A24" s="37">
        <v>24</v>
      </c>
      <c r="B24" s="29" t="s">
        <v>323</v>
      </c>
      <c r="C24" s="34">
        <f>C18-1</f>
        <v>224</v>
      </c>
      <c r="D24" s="5">
        <f>3*0.3*52</f>
        <v>46.8</v>
      </c>
    </row>
    <row r="25" spans="1:8" ht="14">
      <c r="A25" s="37">
        <v>25</v>
      </c>
      <c r="B25" s="29"/>
    </row>
    <row r="26" spans="1:8" ht="14">
      <c r="A26" s="37">
        <v>26</v>
      </c>
      <c r="B26" s="29"/>
    </row>
    <row r="27" spans="1:8" ht="14">
      <c r="A27" s="37">
        <v>27</v>
      </c>
      <c r="B27" s="29" t="s">
        <v>229</v>
      </c>
      <c r="C27" s="34">
        <v>227</v>
      </c>
      <c r="D27" s="2" t="e">
        <f>'h2o calculator'!#REF!/2</f>
        <v>#REF!</v>
      </c>
    </row>
    <row r="28" spans="1:8" ht="14">
      <c r="A28" s="37">
        <v>28</v>
      </c>
      <c r="B28" s="29" t="s">
        <v>230</v>
      </c>
      <c r="C28" s="34">
        <v>188</v>
      </c>
      <c r="D28" s="2" t="e">
        <f>'h2o calculator'!#REF!/2</f>
        <v>#REF!</v>
      </c>
    </row>
    <row r="29" spans="1:8" ht="13" customHeight="1">
      <c r="A29" s="37">
        <v>29</v>
      </c>
    </row>
    <row r="30" spans="1:8" ht="14">
      <c r="A30" s="37">
        <v>30</v>
      </c>
      <c r="B30" s="28" t="s">
        <v>231</v>
      </c>
      <c r="D30" s="25">
        <f>D31+D33+D35+D37+D39+D41+D43+D45+D47</f>
        <v>45.265151515151508</v>
      </c>
      <c r="F30" t="s">
        <v>300</v>
      </c>
    </row>
    <row r="31" spans="1:8" ht="14">
      <c r="A31" s="37">
        <v>31</v>
      </c>
      <c r="B31" s="29" t="s">
        <v>198</v>
      </c>
      <c r="C31" s="35">
        <v>216</v>
      </c>
      <c r="D31" s="5">
        <f>1500/264</f>
        <v>5.6818181818181817</v>
      </c>
    </row>
    <row r="32" spans="1:8" ht="14">
      <c r="A32" s="37">
        <v>32</v>
      </c>
      <c r="B32" s="33" t="s">
        <v>210</v>
      </c>
      <c r="C32" s="36">
        <f>C31+(93/12)</f>
        <v>223.75</v>
      </c>
      <c r="D32" s="5"/>
      <c r="F32" s="5">
        <f>C31-C32</f>
        <v>-7.75</v>
      </c>
      <c r="H32" t="s">
        <v>211</v>
      </c>
    </row>
    <row r="33" spans="1:8" ht="14">
      <c r="A33" s="37">
        <v>33</v>
      </c>
      <c r="B33" s="29" t="s">
        <v>199</v>
      </c>
      <c r="C33" s="35">
        <v>216</v>
      </c>
      <c r="D33" s="5">
        <f>1500/264</f>
        <v>5.6818181818181817</v>
      </c>
    </row>
    <row r="34" spans="1:8" ht="14">
      <c r="A34" s="37">
        <v>34</v>
      </c>
      <c r="B34" s="33" t="s">
        <v>212</v>
      </c>
      <c r="C34" s="36">
        <f>C33+(93/12)</f>
        <v>223.75</v>
      </c>
      <c r="D34" s="5"/>
      <c r="F34" s="5">
        <f>C33-C34</f>
        <v>-7.75</v>
      </c>
      <c r="H34" t="s">
        <v>211</v>
      </c>
    </row>
    <row r="35" spans="1:8" ht="14">
      <c r="A35" s="37">
        <v>35</v>
      </c>
      <c r="B35" s="29" t="s">
        <v>200</v>
      </c>
      <c r="C35" s="34">
        <f>232-14</f>
        <v>218</v>
      </c>
      <c r="D35" s="5">
        <f>1550/264</f>
        <v>5.8712121212121211</v>
      </c>
    </row>
    <row r="36" spans="1:8" ht="14">
      <c r="A36" s="37">
        <v>36</v>
      </c>
      <c r="B36" s="29" t="s">
        <v>204</v>
      </c>
      <c r="C36" s="34">
        <f>C35+(67/12)</f>
        <v>223.58333333333334</v>
      </c>
      <c r="D36" s="5"/>
      <c r="F36" s="5">
        <f>C35-C36</f>
        <v>-5.5833333333333428</v>
      </c>
    </row>
    <row r="37" spans="1:8" ht="14">
      <c r="A37" s="37">
        <v>37</v>
      </c>
      <c r="B37" s="29" t="s">
        <v>205</v>
      </c>
      <c r="C37" s="34">
        <f>232-14</f>
        <v>218</v>
      </c>
      <c r="D37" s="5">
        <f>325/264</f>
        <v>1.231060606060606</v>
      </c>
    </row>
    <row r="38" spans="1:8" ht="14">
      <c r="A38" s="37">
        <v>38</v>
      </c>
      <c r="B38" s="29" t="s">
        <v>206</v>
      </c>
      <c r="C38" s="34">
        <f>C37+5</f>
        <v>223</v>
      </c>
      <c r="D38" s="5"/>
      <c r="F38" s="5">
        <f>C37-C38</f>
        <v>-5</v>
      </c>
    </row>
    <row r="39" spans="1:8" ht="14">
      <c r="A39" s="37">
        <v>39</v>
      </c>
      <c r="B39" s="29" t="s">
        <v>201</v>
      </c>
      <c r="C39" s="34">
        <f>232-14</f>
        <v>218</v>
      </c>
      <c r="D39" s="5">
        <f>325/264</f>
        <v>1.231060606060606</v>
      </c>
    </row>
    <row r="40" spans="1:8" ht="14">
      <c r="A40" s="37">
        <v>40</v>
      </c>
      <c r="B40" s="29" t="s">
        <v>207</v>
      </c>
      <c r="C40" s="34">
        <f>C39+5</f>
        <v>223</v>
      </c>
      <c r="D40" s="5"/>
      <c r="F40" s="5">
        <f>C39-C40</f>
        <v>-5</v>
      </c>
    </row>
    <row r="41" spans="1:8" ht="14">
      <c r="A41" s="37">
        <v>41</v>
      </c>
      <c r="B41" s="29" t="s">
        <v>202</v>
      </c>
      <c r="C41" s="34">
        <f>232-14</f>
        <v>218</v>
      </c>
      <c r="D41" s="5">
        <f>325/264</f>
        <v>1.231060606060606</v>
      </c>
    </row>
    <row r="42" spans="1:8" ht="14">
      <c r="A42" s="37">
        <v>42</v>
      </c>
      <c r="B42" s="29" t="s">
        <v>208</v>
      </c>
      <c r="C42" s="34">
        <f>C41+5</f>
        <v>223</v>
      </c>
      <c r="D42" s="5"/>
      <c r="F42" s="5">
        <f>C41-C42</f>
        <v>-5</v>
      </c>
    </row>
    <row r="43" spans="1:8" ht="14">
      <c r="A43" s="37">
        <v>43</v>
      </c>
      <c r="B43" s="29" t="s">
        <v>203</v>
      </c>
      <c r="C43" s="34">
        <f>232-14</f>
        <v>218</v>
      </c>
      <c r="D43" s="5">
        <f>325/264</f>
        <v>1.231060606060606</v>
      </c>
    </row>
    <row r="44" spans="1:8" ht="14">
      <c r="A44" s="37">
        <v>44</v>
      </c>
      <c r="B44" s="29" t="s">
        <v>209</v>
      </c>
      <c r="C44" s="34">
        <f>C43+5</f>
        <v>223</v>
      </c>
      <c r="D44" s="5"/>
      <c r="F44" s="5">
        <f>C43-C44</f>
        <v>-5</v>
      </c>
    </row>
    <row r="45" spans="1:8" ht="14">
      <c r="A45" s="37">
        <v>45</v>
      </c>
      <c r="B45" s="29" t="s">
        <v>214</v>
      </c>
      <c r="C45" s="34">
        <f>232-14</f>
        <v>218</v>
      </c>
      <c r="D45" s="5">
        <f>5000/264</f>
        <v>18.939393939393938</v>
      </c>
      <c r="H45" s="5">
        <f>SUM(D37:D43)</f>
        <v>4.9242424242424239</v>
      </c>
    </row>
    <row r="46" spans="1:8" ht="14">
      <c r="A46" s="37">
        <v>46</v>
      </c>
      <c r="B46" s="29" t="s">
        <v>213</v>
      </c>
      <c r="C46" s="36">
        <f>C45+(87/12)</f>
        <v>225.25</v>
      </c>
      <c r="D46" s="5"/>
      <c r="F46" s="5">
        <f>C45-C46</f>
        <v>-7.25</v>
      </c>
    </row>
    <row r="47" spans="1:8" ht="14">
      <c r="A47" s="37">
        <v>47</v>
      </c>
      <c r="B47" s="29" t="s">
        <v>216</v>
      </c>
      <c r="C47" s="35">
        <v>226</v>
      </c>
      <c r="D47" s="5">
        <f>1100/264</f>
        <v>4.166666666666667</v>
      </c>
    </row>
    <row r="48" spans="1:8" ht="14">
      <c r="A48" s="37">
        <v>48</v>
      </c>
      <c r="B48" s="29" t="s">
        <v>215</v>
      </c>
      <c r="C48" s="36">
        <f>C47+(53/12)</f>
        <v>230.41666666666666</v>
      </c>
      <c r="F48" s="5">
        <f>C47-C48</f>
        <v>-4.4166666666666572</v>
      </c>
    </row>
    <row r="49" spans="1:8" ht="13" customHeight="1">
      <c r="A49" s="37">
        <v>49</v>
      </c>
    </row>
    <row r="50" spans="1:8" ht="14">
      <c r="A50" s="37">
        <v>50</v>
      </c>
      <c r="B50" s="28" t="s">
        <v>224</v>
      </c>
    </row>
    <row r="51" spans="1:8" ht="14">
      <c r="A51" s="37">
        <v>51</v>
      </c>
      <c r="B51" s="29" t="s">
        <v>219</v>
      </c>
      <c r="C51" s="34">
        <v>211</v>
      </c>
    </row>
    <row r="52" spans="1:8" ht="14">
      <c r="A52" s="37">
        <v>52</v>
      </c>
      <c r="B52" s="29" t="s">
        <v>220</v>
      </c>
      <c r="C52" s="34">
        <v>208</v>
      </c>
    </row>
    <row r="53" spans="1:8" ht="14">
      <c r="A53" s="37">
        <v>53</v>
      </c>
      <c r="B53" s="29" t="s">
        <v>221</v>
      </c>
      <c r="C53" s="34">
        <v>206.5</v>
      </c>
    </row>
    <row r="54" spans="1:8" ht="14">
      <c r="A54" s="37">
        <v>54</v>
      </c>
      <c r="B54" s="29" t="s">
        <v>222</v>
      </c>
      <c r="C54" s="34">
        <v>206.5</v>
      </c>
    </row>
    <row r="55" spans="1:8" ht="14" customHeight="1">
      <c r="A55" s="37">
        <v>55</v>
      </c>
      <c r="B55" s="29" t="s">
        <v>223</v>
      </c>
      <c r="C55" s="34">
        <v>206.5</v>
      </c>
    </row>
    <row r="56" spans="1:8" ht="14" customHeight="1">
      <c r="A56" s="37">
        <v>56</v>
      </c>
      <c r="B56" s="29"/>
    </row>
    <row r="57" spans="1:8" ht="14">
      <c r="A57" s="37">
        <v>57</v>
      </c>
      <c r="B57" s="29" t="s">
        <v>259</v>
      </c>
      <c r="C57" s="34">
        <v>213</v>
      </c>
      <c r="H57" t="s">
        <v>260</v>
      </c>
    </row>
    <row r="58" spans="1:8" ht="14" customHeight="1">
      <c r="A58" s="37">
        <v>58</v>
      </c>
      <c r="B58" s="29"/>
    </row>
    <row r="59" spans="1:8" ht="14">
      <c r="A59" s="37">
        <v>59</v>
      </c>
      <c r="B59" s="28" t="s">
        <v>373</v>
      </c>
    </row>
    <row r="60" spans="1:8" ht="14">
      <c r="A60" s="37">
        <v>60</v>
      </c>
      <c r="B60" s="29" t="s">
        <v>225</v>
      </c>
      <c r="C60" s="34">
        <v>213</v>
      </c>
    </row>
    <row r="61" spans="1:8" ht="14">
      <c r="A61" s="37">
        <v>61</v>
      </c>
      <c r="B61" s="29" t="s">
        <v>226</v>
      </c>
      <c r="C61" s="34">
        <v>209</v>
      </c>
    </row>
    <row r="62" spans="1:8" ht="14">
      <c r="A62" s="37">
        <v>62</v>
      </c>
      <c r="B62" s="29" t="s">
        <v>227</v>
      </c>
      <c r="C62" s="34">
        <v>217.5</v>
      </c>
    </row>
    <row r="63" spans="1:8">
      <c r="A63" s="37">
        <v>63</v>
      </c>
    </row>
    <row r="64" spans="1:8">
      <c r="A64" s="37">
        <v>64</v>
      </c>
    </row>
    <row r="65" spans="1:1">
      <c r="A65" s="37">
        <v>65</v>
      </c>
    </row>
    <row r="66" spans="1:1">
      <c r="A66" s="37">
        <v>66</v>
      </c>
    </row>
    <row r="67" spans="1:1">
      <c r="A67" s="37">
        <v>67</v>
      </c>
    </row>
    <row r="68" spans="1:1">
      <c r="A68" s="37">
        <v>68</v>
      </c>
    </row>
    <row r="69" spans="1:1">
      <c r="A69" s="37">
        <v>69</v>
      </c>
    </row>
  </sheetData>
  <phoneticPr fontId="3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/>
  </sheetViews>
  <sheetFormatPr baseColWidth="10" defaultRowHeight="13" x14ac:dyDescent="0"/>
  <cols>
    <col min="1" max="1" width="29.5703125" customWidth="1"/>
    <col min="2" max="2" width="9.28515625" style="5" customWidth="1"/>
    <col min="3" max="3" width="11.42578125" style="5" customWidth="1"/>
  </cols>
  <sheetData>
    <row r="1" spans="1:3">
      <c r="A1" t="s">
        <v>299</v>
      </c>
    </row>
    <row r="3" spans="1:3">
      <c r="B3" s="5" t="s">
        <v>334</v>
      </c>
    </row>
    <row r="4" spans="1:3">
      <c r="B4" s="5" t="s">
        <v>374</v>
      </c>
      <c r="C4" s="5" t="s">
        <v>390</v>
      </c>
    </row>
    <row r="5" spans="1:3">
      <c r="A5" t="s">
        <v>261</v>
      </c>
      <c r="B5" s="5">
        <v>235</v>
      </c>
      <c r="C5" s="5">
        <v>8.76</v>
      </c>
    </row>
    <row r="6" spans="1:3">
      <c r="A6" t="s">
        <v>262</v>
      </c>
      <c r="B6" s="5">
        <v>232</v>
      </c>
      <c r="C6" s="5">
        <v>73.888888888888886</v>
      </c>
    </row>
    <row r="7" spans="1:3">
      <c r="A7" t="s">
        <v>291</v>
      </c>
      <c r="B7" s="5">
        <v>230.41666666666666</v>
      </c>
    </row>
    <row r="8" spans="1:3">
      <c r="A8" t="s">
        <v>263</v>
      </c>
      <c r="B8" s="5">
        <v>229</v>
      </c>
      <c r="C8" s="5">
        <v>114.72222222222221</v>
      </c>
    </row>
    <row r="9" spans="1:3">
      <c r="A9" t="s">
        <v>265</v>
      </c>
      <c r="B9" s="5">
        <v>227</v>
      </c>
      <c r="C9" s="5">
        <v>125.54999999999998</v>
      </c>
    </row>
    <row r="10" spans="1:3">
      <c r="A10" t="s">
        <v>271</v>
      </c>
      <c r="B10" s="5">
        <v>227</v>
      </c>
      <c r="C10" s="5">
        <v>32.85</v>
      </c>
    </row>
    <row r="11" spans="1:3">
      <c r="A11" t="s">
        <v>228</v>
      </c>
      <c r="B11" s="5">
        <v>227</v>
      </c>
      <c r="C11" s="5">
        <v>74.362606232294624</v>
      </c>
    </row>
    <row r="12" spans="1:3">
      <c r="A12" t="s">
        <v>290</v>
      </c>
      <c r="B12" s="5">
        <v>226</v>
      </c>
      <c r="C12" s="5">
        <v>4.166666666666667</v>
      </c>
    </row>
    <row r="13" spans="1:3">
      <c r="A13" t="s">
        <v>289</v>
      </c>
      <c r="B13" s="5">
        <v>225.25</v>
      </c>
    </row>
    <row r="14" spans="1:3">
      <c r="A14" t="s">
        <v>336</v>
      </c>
      <c r="B14" s="5">
        <v>225</v>
      </c>
    </row>
    <row r="15" spans="1:3">
      <c r="A15" t="s">
        <v>272</v>
      </c>
      <c r="B15" s="5">
        <v>224</v>
      </c>
      <c r="C15" s="5">
        <v>46.8</v>
      </c>
    </row>
    <row r="16" spans="1:3">
      <c r="A16" t="s">
        <v>275</v>
      </c>
      <c r="B16" s="5">
        <v>223.75</v>
      </c>
    </row>
    <row r="17" spans="1:3">
      <c r="A17" t="s">
        <v>277</v>
      </c>
      <c r="B17" s="5">
        <v>223.75</v>
      </c>
    </row>
    <row r="18" spans="1:3">
      <c r="A18" t="s">
        <v>279</v>
      </c>
      <c r="B18" s="5">
        <v>223.58333333333334</v>
      </c>
    </row>
    <row r="19" spans="1:3">
      <c r="A19" t="s">
        <v>281</v>
      </c>
      <c r="B19" s="5">
        <v>223</v>
      </c>
    </row>
    <row r="20" spans="1:3">
      <c r="A20" t="s">
        <v>283</v>
      </c>
      <c r="B20" s="5">
        <v>223</v>
      </c>
    </row>
    <row r="21" spans="1:3">
      <c r="A21" t="s">
        <v>285</v>
      </c>
      <c r="B21" s="5">
        <v>223</v>
      </c>
    </row>
    <row r="22" spans="1:3">
      <c r="A22" t="s">
        <v>287</v>
      </c>
      <c r="B22" s="5">
        <v>223</v>
      </c>
    </row>
    <row r="23" spans="1:3">
      <c r="A23" t="s">
        <v>270</v>
      </c>
      <c r="B23" s="5">
        <v>221</v>
      </c>
      <c r="C23" s="5">
        <v>54.599999999999994</v>
      </c>
    </row>
    <row r="24" spans="1:3">
      <c r="A24" t="s">
        <v>266</v>
      </c>
      <c r="B24" s="5">
        <v>219</v>
      </c>
    </row>
    <row r="25" spans="1:3">
      <c r="A25" t="s">
        <v>269</v>
      </c>
      <c r="B25" s="5">
        <v>218</v>
      </c>
    </row>
    <row r="26" spans="1:3">
      <c r="A26" t="s">
        <v>278</v>
      </c>
      <c r="B26" s="5">
        <v>218</v>
      </c>
      <c r="C26" s="5">
        <v>5.8712121212121211</v>
      </c>
    </row>
    <row r="27" spans="1:3">
      <c r="A27" t="s">
        <v>280</v>
      </c>
      <c r="B27" s="5">
        <v>218</v>
      </c>
      <c r="C27" s="5">
        <v>1.231060606060606</v>
      </c>
    </row>
    <row r="28" spans="1:3">
      <c r="A28" t="s">
        <v>282</v>
      </c>
      <c r="B28" s="5">
        <v>218</v>
      </c>
      <c r="C28" s="5">
        <v>1.231060606060606</v>
      </c>
    </row>
    <row r="29" spans="1:3">
      <c r="A29" t="s">
        <v>284</v>
      </c>
      <c r="B29" s="5">
        <v>218</v>
      </c>
      <c r="C29" s="5">
        <v>1.231060606060606</v>
      </c>
    </row>
    <row r="30" spans="1:3">
      <c r="A30" t="s">
        <v>286</v>
      </c>
      <c r="B30" s="5">
        <v>218</v>
      </c>
      <c r="C30" s="5">
        <v>1.231060606060606</v>
      </c>
    </row>
    <row r="31" spans="1:3">
      <c r="A31" t="s">
        <v>288</v>
      </c>
      <c r="B31" s="5">
        <v>218</v>
      </c>
      <c r="C31" s="5">
        <v>18.939393939393938</v>
      </c>
    </row>
    <row r="32" spans="1:3">
      <c r="A32" t="s">
        <v>227</v>
      </c>
      <c r="B32" s="5">
        <v>217.5</v>
      </c>
    </row>
    <row r="33" spans="1:3">
      <c r="A33" t="s">
        <v>264</v>
      </c>
      <c r="B33" s="5">
        <v>216</v>
      </c>
      <c r="C33" s="5">
        <v>51.851851851851848</v>
      </c>
    </row>
    <row r="34" spans="1:3">
      <c r="A34" t="s">
        <v>274</v>
      </c>
      <c r="B34" s="5">
        <v>216</v>
      </c>
      <c r="C34" s="5">
        <v>5.6818181818181817</v>
      </c>
    </row>
    <row r="35" spans="1:3">
      <c r="A35" t="s">
        <v>276</v>
      </c>
      <c r="B35" s="5">
        <v>216</v>
      </c>
      <c r="C35" s="5">
        <v>5.6818181818181817</v>
      </c>
    </row>
    <row r="36" spans="1:3">
      <c r="A36" t="s">
        <v>259</v>
      </c>
      <c r="B36" s="5">
        <v>213</v>
      </c>
    </row>
    <row r="37" spans="1:3">
      <c r="A37" t="s">
        <v>297</v>
      </c>
      <c r="B37" s="5">
        <v>213</v>
      </c>
    </row>
    <row r="38" spans="1:3">
      <c r="A38" t="s">
        <v>292</v>
      </c>
      <c r="B38" s="5">
        <v>211</v>
      </c>
    </row>
    <row r="39" spans="1:3">
      <c r="A39" t="s">
        <v>298</v>
      </c>
      <c r="B39" s="5">
        <v>209</v>
      </c>
    </row>
    <row r="40" spans="1:3">
      <c r="A40" t="s">
        <v>293</v>
      </c>
      <c r="B40" s="5">
        <v>208</v>
      </c>
    </row>
    <row r="41" spans="1:3">
      <c r="A41" t="s">
        <v>294</v>
      </c>
      <c r="B41" s="5">
        <v>206.5</v>
      </c>
    </row>
    <row r="42" spans="1:3">
      <c r="A42" t="s">
        <v>295</v>
      </c>
      <c r="B42" s="5">
        <v>206.5</v>
      </c>
    </row>
    <row r="43" spans="1:3">
      <c r="A43" t="s">
        <v>296</v>
      </c>
      <c r="B43" s="5">
        <v>206.5</v>
      </c>
    </row>
    <row r="44" spans="1:3">
      <c r="A44" t="s">
        <v>267</v>
      </c>
      <c r="B44" s="5">
        <v>194</v>
      </c>
      <c r="C44" s="5">
        <v>0</v>
      </c>
    </row>
    <row r="45" spans="1:3">
      <c r="A45" t="s">
        <v>268</v>
      </c>
      <c r="B45" s="5">
        <v>188</v>
      </c>
    </row>
    <row r="46" spans="1:3">
      <c r="A46" t="s">
        <v>273</v>
      </c>
      <c r="B46" s="5">
        <v>188</v>
      </c>
      <c r="C46" s="5">
        <v>74.362606232294624</v>
      </c>
    </row>
    <row r="53" spans="1:2">
      <c r="B53" s="5" t="s">
        <v>334</v>
      </c>
    </row>
    <row r="54" spans="1:2">
      <c r="B54" s="5" t="s">
        <v>374</v>
      </c>
    </row>
    <row r="55" spans="1:2">
      <c r="A55" t="s">
        <v>262</v>
      </c>
      <c r="B55" s="5">
        <v>232</v>
      </c>
    </row>
    <row r="56" spans="1:2">
      <c r="A56" t="s">
        <v>291</v>
      </c>
      <c r="B56" s="5">
        <v>230.41666666666666</v>
      </c>
    </row>
    <row r="57" spans="1:2">
      <c r="A57" t="s">
        <v>263</v>
      </c>
      <c r="B57" s="5">
        <v>229</v>
      </c>
    </row>
    <row r="58" spans="1:2">
      <c r="A58" t="s">
        <v>290</v>
      </c>
      <c r="B58" s="5">
        <v>226</v>
      </c>
    </row>
    <row r="59" spans="1:2">
      <c r="A59" t="s">
        <v>289</v>
      </c>
      <c r="B59" s="5">
        <v>225.25</v>
      </c>
    </row>
    <row r="60" spans="1:2">
      <c r="A60" t="s">
        <v>275</v>
      </c>
      <c r="B60" s="5">
        <v>223.75</v>
      </c>
    </row>
    <row r="61" spans="1:2">
      <c r="A61" t="s">
        <v>277</v>
      </c>
      <c r="B61" s="5">
        <v>223.75</v>
      </c>
    </row>
    <row r="62" spans="1:2">
      <c r="A62" t="s">
        <v>279</v>
      </c>
      <c r="B62" s="5">
        <v>223.58333333333334</v>
      </c>
    </row>
    <row r="63" spans="1:2">
      <c r="A63" t="s">
        <v>281</v>
      </c>
      <c r="B63" s="5">
        <v>223</v>
      </c>
    </row>
    <row r="64" spans="1:2">
      <c r="A64" t="s">
        <v>283</v>
      </c>
      <c r="B64" s="5">
        <v>223</v>
      </c>
    </row>
    <row r="65" spans="1:2">
      <c r="A65" t="s">
        <v>285</v>
      </c>
      <c r="B65" s="5">
        <v>223</v>
      </c>
    </row>
    <row r="66" spans="1:2">
      <c r="A66" t="s">
        <v>287</v>
      </c>
      <c r="B66" s="5">
        <v>223</v>
      </c>
    </row>
    <row r="67" spans="1:2">
      <c r="A67" t="s">
        <v>278</v>
      </c>
      <c r="B67" s="5">
        <v>218</v>
      </c>
    </row>
    <row r="68" spans="1:2">
      <c r="A68" t="s">
        <v>280</v>
      </c>
      <c r="B68" s="5">
        <v>218</v>
      </c>
    </row>
    <row r="69" spans="1:2">
      <c r="A69" t="s">
        <v>282</v>
      </c>
      <c r="B69" s="5">
        <v>218</v>
      </c>
    </row>
    <row r="70" spans="1:2">
      <c r="A70" t="s">
        <v>284</v>
      </c>
      <c r="B70" s="5">
        <v>218</v>
      </c>
    </row>
    <row r="71" spans="1:2">
      <c r="A71" t="s">
        <v>286</v>
      </c>
      <c r="B71" s="5">
        <v>218</v>
      </c>
    </row>
    <row r="72" spans="1:2">
      <c r="A72" t="s">
        <v>288</v>
      </c>
      <c r="B72" s="5">
        <v>218</v>
      </c>
    </row>
    <row r="73" spans="1:2">
      <c r="A73" t="s">
        <v>264</v>
      </c>
      <c r="B73" s="5">
        <v>216</v>
      </c>
    </row>
    <row r="74" spans="1:2">
      <c r="A74" t="s">
        <v>274</v>
      </c>
      <c r="B74" s="5">
        <v>216</v>
      </c>
    </row>
    <row r="75" spans="1:2">
      <c r="A75" t="s">
        <v>276</v>
      </c>
      <c r="B75" s="5">
        <v>216</v>
      </c>
    </row>
    <row r="77" spans="1:2">
      <c r="B77" s="5" t="s">
        <v>374</v>
      </c>
    </row>
    <row r="78" spans="1:2">
      <c r="A78" t="s">
        <v>262</v>
      </c>
      <c r="B78" s="5">
        <v>232</v>
      </c>
    </row>
    <row r="79" spans="1:2">
      <c r="A79" t="s">
        <v>263</v>
      </c>
      <c r="B79" s="5">
        <v>229</v>
      </c>
    </row>
    <row r="80" spans="1:2">
      <c r="A80" t="s">
        <v>291</v>
      </c>
      <c r="B80" s="5">
        <v>228</v>
      </c>
    </row>
    <row r="81" spans="1:2">
      <c r="A81" t="s">
        <v>290</v>
      </c>
      <c r="B81" s="5">
        <v>228</v>
      </c>
    </row>
    <row r="82" spans="1:2">
      <c r="A82" t="s">
        <v>289</v>
      </c>
      <c r="B82" s="5">
        <v>228</v>
      </c>
    </row>
    <row r="83" spans="1:2">
      <c r="A83" t="s">
        <v>275</v>
      </c>
      <c r="B83" s="5">
        <v>228</v>
      </c>
    </row>
    <row r="84" spans="1:2">
      <c r="A84" t="s">
        <v>277</v>
      </c>
      <c r="B84" s="5">
        <v>228</v>
      </c>
    </row>
    <row r="85" spans="1:2">
      <c r="A85" t="s">
        <v>279</v>
      </c>
      <c r="B85" s="5">
        <v>228</v>
      </c>
    </row>
    <row r="86" spans="1:2">
      <c r="A86" t="s">
        <v>281</v>
      </c>
      <c r="B86" s="5">
        <v>228</v>
      </c>
    </row>
    <row r="87" spans="1:2">
      <c r="A87" t="s">
        <v>283</v>
      </c>
      <c r="B87" s="5">
        <v>228</v>
      </c>
    </row>
    <row r="88" spans="1:2">
      <c r="A88" t="s">
        <v>285</v>
      </c>
      <c r="B88" s="5">
        <v>228</v>
      </c>
    </row>
    <row r="89" spans="1:2">
      <c r="A89" t="s">
        <v>287</v>
      </c>
      <c r="B89" s="5">
        <v>228</v>
      </c>
    </row>
    <row r="90" spans="1:2">
      <c r="A90" t="s">
        <v>274</v>
      </c>
      <c r="B90" s="5">
        <v>228</v>
      </c>
    </row>
    <row r="91" spans="1:2">
      <c r="A91" t="s">
        <v>264</v>
      </c>
      <c r="B91" s="5">
        <v>216</v>
      </c>
    </row>
    <row r="92" spans="1:2">
      <c r="A92" t="s">
        <v>276</v>
      </c>
      <c r="B92" s="5">
        <v>216</v>
      </c>
    </row>
  </sheetData>
  <phoneticPr fontId="3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</vt:vector>
  </HeadingPairs>
  <TitlesOfParts>
    <vt:vector size="12" baseType="lpstr">
      <vt:lpstr>h2o calculator</vt:lpstr>
      <vt:lpstr>Budget-CHART</vt:lpstr>
      <vt:lpstr>h2o bill-SAMPLE</vt:lpstr>
      <vt:lpstr>h2o bill-YOURS</vt:lpstr>
      <vt:lpstr>Greywater</vt:lpstr>
      <vt:lpstr>RainRunoff</vt:lpstr>
      <vt:lpstr>h2oElements</vt:lpstr>
      <vt:lpstr>Misc</vt:lpstr>
      <vt:lpstr>ChartSRC</vt:lpstr>
      <vt:lpstr>Before-After-CHART</vt:lpstr>
      <vt:lpstr>Deep green comp-CHART</vt:lpstr>
      <vt:lpstr>Chart-Elevations</vt:lpstr>
    </vt:vector>
  </TitlesOfParts>
  <Company>Oasis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Ludwig</dc:creator>
  <cp:lastModifiedBy>Art Ludwig</cp:lastModifiedBy>
  <cp:lastPrinted>2014-08-18T03:38:10Z</cp:lastPrinted>
  <dcterms:created xsi:type="dcterms:W3CDTF">2005-04-23T00:49:37Z</dcterms:created>
  <dcterms:modified xsi:type="dcterms:W3CDTF">2015-03-04T04:52:01Z</dcterms:modified>
</cp:coreProperties>
</file>